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KUMENTAI\2020 METAI\SAVIVALDYBĖ\"/>
    </mc:Choice>
  </mc:AlternateContent>
  <xr:revisionPtr revIDLastSave="0" documentId="13_ncr:1_{98E68A89-7B08-49EA-9866-776217F135CF}" xr6:coauthVersionLast="45" xr6:coauthVersionMax="45" xr10:uidLastSave="{00000000-0000-0000-0000-000000000000}"/>
  <workbookProtection workbookAlgorithmName="SHA-512" workbookHashValue="/OpcZTKk1JojwNRnYmVx6sejXkTdRgmAEpT2VpOumJLFOmhvqTqMk+TbtlIGo2K0WIe2q/dgRTc5Ci6odVt94w==" workbookSaltValue="lStwJHeyteFuUbq+i0agsA==" workbookSpinCount="100000" lockStructure="1"/>
  <bookViews>
    <workbookView xWindow="-120" yWindow="-120" windowWidth="24240" windowHeight="1329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2" i="2" l="1"/>
  <c r="C122" i="2"/>
  <c r="E67" i="2" l="1"/>
  <c r="E64" i="2"/>
  <c r="E62" i="2"/>
  <c r="E61" i="2"/>
  <c r="E56" i="2"/>
  <c r="E55" i="2"/>
  <c r="E80" i="2"/>
  <c r="E79" i="2"/>
  <c r="E74" i="2"/>
  <c r="E73" i="2"/>
  <c r="E85" i="2"/>
  <c r="E91" i="2"/>
  <c r="C91" i="2"/>
  <c r="C85" i="2"/>
  <c r="E81" i="2"/>
  <c r="C81" i="2"/>
  <c r="C80" i="2"/>
  <c r="C79" i="2"/>
  <c r="C73" i="2"/>
  <c r="C74" i="2"/>
  <c r="C67" i="2"/>
  <c r="C64" i="2"/>
  <c r="C62" i="2"/>
  <c r="C61" i="2"/>
  <c r="C56" i="2"/>
  <c r="C55" i="2"/>
  <c r="E49" i="2"/>
  <c r="C49" i="2"/>
  <c r="E46" i="2"/>
  <c r="C46" i="2"/>
  <c r="E44" i="2"/>
  <c r="C44" i="2"/>
  <c r="E41" i="2"/>
  <c r="C41" i="2"/>
  <c r="E40" i="2"/>
  <c r="C40" i="2"/>
  <c r="E38" i="2"/>
  <c r="C38" i="2"/>
  <c r="E37" i="2"/>
  <c r="C37" i="2"/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8A8BC61E-B079-49EC-A5A0-5C872556D41A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A1D0E776-3DB2-4097-834A-DD903C67B4E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D24F6CC6-0783-4B92-B674-1520DBEC610E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FC6506F-4EAA-4CE1-AD0E-CF70B16C21B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598AFDA1-91B3-4B9C-9F9F-B8ECF357483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4437703C-34F3-4DE7-BF0A-F9E7AF38A70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3E000000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66" authorId="0" shapeId="0" xr:uid="{00000000-0006-0000-0000-00003F000000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<sst xmlns="http://schemas.openxmlformats.org/spreadsheetml/2006/main" count="890" uniqueCount="467">
  <si>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</si>
  <si>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</si>
  <si>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</si>
  <si>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</si>
  <si>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</si>
  <si>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</si>
  <si>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</si>
  <si>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</si>
  <si>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</si>
  <si>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</si>
  <si>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</si>
  <si>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</si>
  <si>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</si>
  <si>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</si>
  <si>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</si>
  <si>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</si>
  <si>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</si>
  <si>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</si>
  <si>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</si>
  <si>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</si>
  <si>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</si>
  <si>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</si>
  <si>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</si>
  <si>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</si>
  <si>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</si>
  <si>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</si>
  <si>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</si>
  <si>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</si>
  <si>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</si>
  <si>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</si>
  <si>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</si>
  <si>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</si>
  <si>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</si>
  <si>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</si>
  <si>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</si>
  <si>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</si>
  <si>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</si>
  <si>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</si>
  <si>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</si>
  <si>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</si>
  <si>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</si>
  <si>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</si>
  <si>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</si>
  <si>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</si>
  <si>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</si>
  <si>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</si>
  <si>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</si>
  <si>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</si>
  <si>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</si>
  <si>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</si>
  <si>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</si>
  <si>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</si>
  <si>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</si>
  <si>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</si>
  <si>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</si>
  <si>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</si>
  <si>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</si>
  <si>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</si>
  <si>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</si>
  <si>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</si>
  <si>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</si>
  <si>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</si>
  <si>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</si>
  <si>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</si>
  <si>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</si>
  <si>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</si>
  <si>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</si>
  <si>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</si>
  <si>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</si>
  <si>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</si>
  <si>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</si>
  <si>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</si>
  <si>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</si>
  <si>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</si>
  <si>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</si>
  <si>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</si>
  <si>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</si>
  <si>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</si>
  <si>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</si>
  <si>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</si>
  <si>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</si>
  <si>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</si>
  <si>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</si>
  <si>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</si>
  <si>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</si>
  <si>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</si>
  <si>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</si>
  <si>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</si>
  <si>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</si>
  <si>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</si>
  <si>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</si>
  <si>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</si>
  <si>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</si>
  <si>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</si>
  <si>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</si>
  <si>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</si>
  <si>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</si>
  <si>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</si>
  <si>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</si>
  <si>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</si>
  <si>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</si>
  <si>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</si>
  <si>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</si>
  <si>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</si>
  <si>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</si>
  <si>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</si>
  <si>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</si>
  <si>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</si>
  <si>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</si>
  <si>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</si>
  <si>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</si>
  <si>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</si>
  <si>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</si>
  <si>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</si>
  <si>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</si>
  <si>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</si>
  <si>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</si>
  <si>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</si>
  <si>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</si>
  <si>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</si>
  <si>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</si>
  <si>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</si>
  <si>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</si>
  <si>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</si>
  <si>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</si>
  <si>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</si>
  <si>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</si>
  <si>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</si>
  <si>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</si>
  <si>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</si>
  <si>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</si>
  <si>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</si>
  <si>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</si>
  <si>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</si>
  <si>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</si>
  <si>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</si>
  <si>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</si>
  <si>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</si>
  <si>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</si>
  <si>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</si>
  <si>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</si>
  <si>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</si>
  <si>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</si>
  <si>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</si>
  <si>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</si>
  <si>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</si>
  <si>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</si>
  <si>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</si>
  <si>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</si>
  <si>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</si>
  <si>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</si>
  <si>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</si>
  <si>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</si>
  <si>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</si>
  <si>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</si>
  <si>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</si>
  <si>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</si>
  <si>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</si>
  <si>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</si>
  <si>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</si>
  <si>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</si>
  <si>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</si>
  <si>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</si>
  <si>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</si>
  <si>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</si>
  <si>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</si>
  <si>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</si>
  <si>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</si>
  <si>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</si>
  <si>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</si>
  <si>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</si>
  <si>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</si>
  <si>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</si>
  <si>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</si>
  <si>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</si>
  <si>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</si>
  <si>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</si>
  <si>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</si>
  <si>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</si>
  <si>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</si>
  <si>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</si>
  <si>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</si>
  <si>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</si>
  <si>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</si>
  <si>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</si>
  <si>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</si>
  <si>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</si>
  <si>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</si>
  <si>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</si>
  <si>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</si>
  <si>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</si>
  <si>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</si>
  <si>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</si>
  <si>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</si>
  <si>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</si>
  <si>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</si>
  <si>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</si>
  <si>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</si>
  <si>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</si>
  <si>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</si>
  <si>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</si>
  <si>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</si>
  <si>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</si>
  <si>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</si>
  <si>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</si>
  <si>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</si>
  <si>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</si>
  <si>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</si>
  <si>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</si>
  <si>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</si>
  <si>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</si>
  <si>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</si>
  <si>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</si>
  <si>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</si>
  <si>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</si>
  <si>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</si>
  <si>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</si>
  <si>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</si>
  <si>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</si>
  <si>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</si>
  <si>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</si>
  <si>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</si>
  <si>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</si>
  <si>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</si>
  <si>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</si>
  <si>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</si>
  <si>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</si>
  <si>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</si>
  <si>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</si>
  <si>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</si>
  <si>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</si>
  <si>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</si>
  <si>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</si>
  <si>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</si>
  <si>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</si>
  <si>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</si>
  <si>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</si>
  <si>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</si>
  <si>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</si>
  <si>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</si>
  <si>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</si>
  <si>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</si>
  <si>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</si>
  <si>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</si>
  <si>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</si>
  <si>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</si>
  <si>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</si>
  <si>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</si>
  <si>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</si>
  <si>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</si>
  <si>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</si>
  <si>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</si>
  <si>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</si>
  <si>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</si>
  <si>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</si>
  <si>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</si>
  <si>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</si>
  <si>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</si>
  <si>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</si>
  <si>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</si>
  <si>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</si>
  <si>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</si>
  <si>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</si>
  <si>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</si>
  <si>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</si>
  <si>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</si>
  <si>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</si>
  <si>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</si>
  <si>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</si>
  <si>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</si>
  <si>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</si>
  <si>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</si>
  <si>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</si>
  <si>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</si>
  <si>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</si>
  <si>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</si>
  <si>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</si>
  <si>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</si>
  <si>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</si>
  <si>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</si>
  <si>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</si>
  <si>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</si>
  <si>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</si>
  <si>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</si>
  <si>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</si>
  <si>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</si>
  <si>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</si>
  <si>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</si>
  <si>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</si>
  <si>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</si>
  <si>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</si>
  <si>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</si>
  <si>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</si>
  <si>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</si>
  <si>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</si>
  <si>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</si>
  <si>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</si>
  <si>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</si>
  <si>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</si>
  <si>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</si>
  <si>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</si>
  <si>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</si>
  <si>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</si>
  <si>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</si>
  <si>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</si>
  <si>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</si>
  <si>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</si>
  <si>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</si>
  <si>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</si>
  <si>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</si>
  <si>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</si>
  <si>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</si>
  <si>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</si>
  <si>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</si>
  <si>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</si>
  <si>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</si>
  <si>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</si>
  <si>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</si>
  <si>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</si>
  <si>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</si>
  <si>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</si>
  <si>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</si>
  <si>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</si>
  <si>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</si>
  <si>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</si>
  <si>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</si>
  <si>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</si>
  <si>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</si>
  <si>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</si>
  <si>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</si>
  <si>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</si>
  <si>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</si>
  <si>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</si>
  <si>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</si>
  <si>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</si>
  <si>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</si>
  <si>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</si>
  <si>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</si>
  <si>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</si>
  <si>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</si>
  <si>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</si>
  <si>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</si>
  <si>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</si>
  <si>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</si>
  <si>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</si>
  <si>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</si>
  <si>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</si>
  <si>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</si>
  <si>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</si>
  <si>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</si>
  <si>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</si>
  <si>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</si>
  <si>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</si>
  <si>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</si>
  <si>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</si>
  <si>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</si>
  <si>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</si>
  <si>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</si>
  <si>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</si>
  <si>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</si>
  <si>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</si>
  <si>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</si>
  <si>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</si>
  <si>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</si>
  <si>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</si>
  <si>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</si>
  <si>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</si>
  <si>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</si>
  <si>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</si>
  <si>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</si>
  <si>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</si>
  <si>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</si>
  <si>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</si>
  <si>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</si>
  <si>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</si>
  <si>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</si>
  <si>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</si>
  <si>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</si>
  <si>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</si>
  <si>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</si>
  <si>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</si>
  <si>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</si>
  <si>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</si>
  <si>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</si>
  <si>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</si>
  <si>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</si>
  <si>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</si>
  <si>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</si>
  <si>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</si>
  <si>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</si>
  <si>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</si>
  <si>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</si>
  <si>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</si>
  <si>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</si>
  <si>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</si>
  <si>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</si>
  <si>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</si>
  <si>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</si>
  <si>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</si>
  <si>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</si>
  <si>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</si>
  <si>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</si>
  <si>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</si>
  <si>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</si>
  <si>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</si>
  <si>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</si>
  <si>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</si>
  <si>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</si>
  <si>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</si>
  <si>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</si>
  <si>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</si>
  <si>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</si>
  <si>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</si>
  <si>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Informacija apie suteiktą paramą ataskaitiniu laikotarpiu &lt;metai&gt;</t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</si>
  <si>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</si>
  <si>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</si>
  <si>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</si>
  <si>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</si>
  <si>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</si>
  <si>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</si>
  <si>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</si>
  <si>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</si>
  <si>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</si>
  <si>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</si>
  <si>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</si>
  <si>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</si>
  <si>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</si>
  <si>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</si>
  <si>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</si>
  <si>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</si>
  <si>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</si>
  <si>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PATVIRTINTA
VšĮ „Stebėsenos ir prognozių agentūra“ 
direktoriaus 2020 m. balandžio 6 d.
įsakymu Nr. IV-12</t>
  </si>
  <si>
    <t>Praėjęs ataskaitinis laikotarpis 2018 metai</t>
  </si>
  <si>
    <t>Ataskaitinis laikotarpis            2019 metai</t>
  </si>
  <si>
    <t>Praėjęs ataskaitinis laikotarpis 2018-12-31</t>
  </si>
  <si>
    <t>Ataskaitinis laikotarpis              2019-12-31</t>
  </si>
  <si>
    <t>Ataskaitinis laikotarpis                                                                                                                                              2019 m. gruodžio 31 d.</t>
  </si>
  <si>
    <t>Ar praėjusiu ataskaitiniu laikotarpiu 2018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</si>
  <si>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</si>
  <si>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t>Ar bendrovės interneto svetainėje skelbiama informacija apie praėjusiu ataskaitiniu laikotarpiu 2018 m. bendrovės suteiktą paramą?</t>
  </si>
  <si>
    <t>Informacija apie suteiktą paramą praėjusiu ataskaitiniu laikotarpiu 2018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</si>
  <si>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</si>
  <si>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t>Ar ataskaitiniu laikotarpiu 2019 m. bent vienam subjektui bendrovė suteikė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</si>
  <si>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</si>
  <si>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ataskaitiniu laikotarpiu 2019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</si>
  <si>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</si>
  <si>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>Rimas Arlinskas</t>
  </si>
  <si>
    <t>Kristina Kairienė</t>
  </si>
  <si>
    <t>ne</t>
  </si>
  <si>
    <t>VŠĮ Ukmergės sporto klubas „Olimpas“</t>
  </si>
  <si>
    <t xml:space="preserve">Asociacija „Ukmergės moterų krepšinio klubas </t>
  </si>
  <si>
    <t>Ukmergės kultūros centras</t>
  </si>
  <si>
    <t>Lietuvos profesinė sąjunga "SOLIDARUMAS"</t>
  </si>
  <si>
    <t>VŠĮ Jaunimo laisvalaikio centras</t>
  </si>
  <si>
    <t>Ukmergės rajono savivaldybės administracija</t>
  </si>
  <si>
    <t>Ukmergės rajono Dainavos kaimo bendruomenė</t>
  </si>
  <si>
    <t>Sporto rėmimas rajone</t>
  </si>
  <si>
    <t>Kultūros rėmimas rajone</t>
  </si>
  <si>
    <t xml:space="preserve">Kultūros rėmimas </t>
  </si>
  <si>
    <t>Kiti tikslai (vaikų užimtumo projektas-stovykla)</t>
  </si>
  <si>
    <t>www.ukvand.lt- APIE MUS- PARAMA</t>
  </si>
  <si>
    <t>www.ukvand.lt-APIE MUS-PARAMA</t>
  </si>
  <si>
    <t>2019 m. gruodžio 20 d.</t>
  </si>
  <si>
    <t>Vyriausia buhalterė Kristina Kairienė</t>
  </si>
  <si>
    <t>370 61063015, k.kairiene@ukvand.lt</t>
  </si>
  <si>
    <t>NE</t>
  </si>
  <si>
    <t>TAIP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</si>
</sst>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50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8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3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3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/>
    <xf numFmtId="0" fontId="2" fillId="0" borderId="49" xfId="0" applyFont="1" applyBorder="1"/>
    <xf numFmtId="0" fontId="41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2" fillId="0" borderId="0" xfId="0" applyFont="1"/>
    <xf numFmtId="0" fontId="43" fillId="0" borderId="16" xfId="0" applyFont="1" applyBorder="1" applyProtection="1">
      <protection locked="0"/>
    </xf>
    <xf numFmtId="0" fontId="43" fillId="0" borderId="77" xfId="0" applyFont="1" applyBorder="1" applyProtection="1">
      <protection locked="0"/>
    </xf>
    <xf numFmtId="0" fontId="43" fillId="0" borderId="78" xfId="0" applyFont="1" applyBorder="1" applyAlignment="1" applyProtection="1">
      <alignment horizontal="center" vertical="center" wrapText="1"/>
      <protection locked="0"/>
    </xf>
    <xf numFmtId="0" fontId="44" fillId="0" borderId="78" xfId="0" applyFont="1" applyBorder="1" applyAlignment="1" applyProtection="1">
      <alignment horizontal="center" vertical="center" wrapText="1"/>
      <protection locked="0"/>
    </xf>
    <xf numFmtId="0" fontId="43" fillId="0" borderId="7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40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22" fillId="7" borderId="62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14" fontId="22" fillId="4" borderId="18" xfId="0" applyNumberFormat="1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38" fillId="7" borderId="0" xfId="0" applyFont="1" applyFill="1" applyBorder="1" applyAlignment="1" applyProtection="1">
      <alignment horizontal="left" wrapText="1"/>
    </xf>
    <xf numFmtId="0" fontId="38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9" fillId="7" borderId="62" xfId="0" applyFont="1" applyFill="1" applyBorder="1" applyAlignment="1" applyProtection="1">
      <alignment horizontal="center"/>
    </xf>
    <xf numFmtId="0" fontId="39" fillId="7" borderId="0" xfId="0" applyFont="1" applyFill="1" applyBorder="1" applyAlignment="1" applyProtection="1">
      <alignment horizontal="center"/>
    </xf>
    <xf numFmtId="0" fontId="39" fillId="7" borderId="14" xfId="0" applyFont="1" applyFill="1" applyBorder="1" applyAlignment="1" applyProtection="1">
      <alignment horizont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topLeftCell="A103" zoomScale="130" zoomScaleNormal="85" zoomScaleSheetLayoutView="130" zoomScalePageLayoutView="60" workbookViewId="0">
      <selection activeCell="E121" sqref="E121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60" hidden="1" customWidth="1"/>
    <col min="7" max="10" width="9.140625" style="60" hidden="1" customWidth="1"/>
    <col min="11" max="11" width="20.28515625" style="60" hidden="1" customWidth="1"/>
    <col min="12" max="17" width="9.140625" style="60" hidden="1" customWidth="1"/>
    <col min="18" max="18" width="47.5703125" style="60" hidden="1" customWidth="1"/>
    <col min="19" max="19" width="10.42578125" style="60" hidden="1" customWidth="1"/>
    <col min="20" max="29" width="9.140625" style="60" hidden="1" customWidth="1"/>
    <col min="30" max="47" width="9.140625" style="60" customWidth="1"/>
    <col min="48" max="16384" width="9.140625" style="60"/>
  </cols>
  <sheetData>
    <row r="1" spans="1:20" ht="9.6" customHeight="1" x14ac:dyDescent="0.2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25">
      <c r="A2" s="60"/>
      <c r="B2" s="101"/>
      <c r="C2" s="101"/>
      <c r="D2" s="278" t="s">
        <v>431</v>
      </c>
      <c r="E2" s="278"/>
      <c r="R2" t="s">
        <v>168</v>
      </c>
      <c r="S2" s="227">
        <v>253255950</v>
      </c>
      <c r="T2" t="s">
        <v>83</v>
      </c>
    </row>
    <row r="3" spans="1:20" ht="31.15" customHeight="1" x14ac:dyDescent="0.25">
      <c r="A3" s="60"/>
      <c r="B3" s="101"/>
      <c r="C3" s="101"/>
      <c r="D3" s="278"/>
      <c r="E3" s="278"/>
      <c r="R3" t="s">
        <v>169</v>
      </c>
      <c r="S3" s="227">
        <v>152903578</v>
      </c>
      <c r="T3" t="s">
        <v>83</v>
      </c>
    </row>
    <row r="4" spans="1:20" ht="31.15" customHeight="1" x14ac:dyDescent="0.25">
      <c r="A4" s="60"/>
      <c r="B4" s="101"/>
      <c r="C4" s="101"/>
      <c r="D4" s="278"/>
      <c r="E4" s="278"/>
      <c r="R4" t="s">
        <v>170</v>
      </c>
      <c r="S4" s="227">
        <v>152968145</v>
      </c>
      <c r="T4" t="s">
        <v>83</v>
      </c>
    </row>
    <row r="5" spans="1:20" ht="13.15" customHeight="1" x14ac:dyDescent="0.25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15" customHeight="1" x14ac:dyDescent="0.25">
      <c r="A6" s="60"/>
      <c r="B6" s="284" t="s">
        <v>167</v>
      </c>
      <c r="C6" s="284"/>
      <c r="D6" s="284"/>
      <c r="E6" s="284"/>
      <c r="R6" t="s">
        <v>172</v>
      </c>
      <c r="S6" s="227">
        <v>149566841</v>
      </c>
      <c r="T6" t="s">
        <v>83</v>
      </c>
    </row>
    <row r="7" spans="1:20" ht="13.15" customHeight="1" x14ac:dyDescent="0.25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.75" x14ac:dyDescent="0.3">
      <c r="A8" s="140"/>
      <c r="B8" s="144" t="s">
        <v>86</v>
      </c>
      <c r="C8" s="285" t="s">
        <v>361</v>
      </c>
      <c r="D8" s="285"/>
      <c r="E8" s="285"/>
      <c r="F8" s="140"/>
      <c r="R8" t="s">
        <v>174</v>
      </c>
      <c r="S8" s="227">
        <v>149693995</v>
      </c>
      <c r="T8" t="s">
        <v>405</v>
      </c>
    </row>
    <row r="9" spans="1:20" ht="15" x14ac:dyDescent="0.25">
      <c r="A9" s="140"/>
      <c r="B9" s="145" t="s">
        <v>85</v>
      </c>
      <c r="C9" s="279" t="str">
        <f>IFERROR(VLOOKUP(C8,R1:T298,3,FALSE),"")</f>
        <v>Uždaroji akcinė bendrovė (UAB)</v>
      </c>
      <c r="D9" s="279"/>
      <c r="E9" s="279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5" x14ac:dyDescent="0.25">
      <c r="A10" s="140"/>
      <c r="B10" s="113" t="s">
        <v>69</v>
      </c>
      <c r="C10" s="279">
        <f>IFERROR(VLOOKUP(C8,R2:S298,2,FALSE),"")</f>
        <v>182743364</v>
      </c>
      <c r="D10" s="279"/>
      <c r="E10" s="279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5" x14ac:dyDescent="0.25">
      <c r="A11" s="140"/>
      <c r="B11" s="232" t="s">
        <v>103</v>
      </c>
      <c r="C11" s="286"/>
      <c r="D11" s="279"/>
      <c r="E11" s="279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5" x14ac:dyDescent="0.25">
      <c r="A12" s="140"/>
      <c r="B12" s="113" t="s">
        <v>104</v>
      </c>
      <c r="C12" s="287" t="s">
        <v>113</v>
      </c>
      <c r="D12" s="287"/>
      <c r="E12" s="287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5" x14ac:dyDescent="0.25">
      <c r="A13" s="140"/>
      <c r="B13" s="232"/>
      <c r="C13" s="286"/>
      <c r="D13" s="279"/>
      <c r="E13" s="279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5" x14ac:dyDescent="0.25">
      <c r="A14" s="140"/>
      <c r="B14" s="113" t="s">
        <v>68</v>
      </c>
      <c r="C14" s="279" t="s">
        <v>446</v>
      </c>
      <c r="D14" s="279"/>
      <c r="E14" s="279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5" x14ac:dyDescent="0.25">
      <c r="A15" s="140"/>
      <c r="B15" s="113" t="s">
        <v>67</v>
      </c>
      <c r="C15" s="280" t="s">
        <v>447</v>
      </c>
      <c r="D15" s="280"/>
      <c r="E15" s="280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5" x14ac:dyDescent="0.25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5" x14ac:dyDescent="0.25">
      <c r="A17" s="140"/>
      <c r="B17" s="113"/>
      <c r="C17" s="281" t="s">
        <v>7</v>
      </c>
      <c r="D17" s="282"/>
      <c r="E17" s="283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5" x14ac:dyDescent="0.25">
      <c r="A18" s="140"/>
      <c r="B18" s="113" t="s">
        <v>66</v>
      </c>
      <c r="C18" s="262" t="s">
        <v>65</v>
      </c>
      <c r="D18" s="262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5" x14ac:dyDescent="0.25">
      <c r="A19" s="140"/>
      <c r="B19" s="146" t="s">
        <v>63</v>
      </c>
      <c r="C19" s="263"/>
      <c r="D19" s="264"/>
      <c r="E19" s="115"/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5" x14ac:dyDescent="0.25">
      <c r="A20" s="140"/>
      <c r="B20" s="146" t="s">
        <v>62</v>
      </c>
      <c r="C20" s="263"/>
      <c r="D20" s="264"/>
      <c r="E20" s="115"/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5" x14ac:dyDescent="0.25">
      <c r="A21" s="140"/>
      <c r="B21" s="146" t="s">
        <v>61</v>
      </c>
      <c r="C21" s="263"/>
      <c r="D21" s="264"/>
      <c r="E21" s="115"/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5" x14ac:dyDescent="0.25">
      <c r="A22" s="140"/>
      <c r="B22" s="146" t="s">
        <v>60</v>
      </c>
      <c r="C22" s="263"/>
      <c r="D22" s="264"/>
      <c r="E22" s="115"/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5" x14ac:dyDescent="0.25">
      <c r="A23" s="140"/>
      <c r="B23" s="146" t="s">
        <v>59</v>
      </c>
      <c r="C23" s="263"/>
      <c r="D23" s="264"/>
      <c r="E23" s="115"/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5" x14ac:dyDescent="0.25">
      <c r="A24" s="140"/>
      <c r="B24" s="146" t="s">
        <v>58</v>
      </c>
      <c r="C24" s="250" t="s">
        <v>57</v>
      </c>
      <c r="D24" s="251"/>
      <c r="E24" s="116">
        <f>100%-SUM(E19:E23)</f>
        <v>1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5" x14ac:dyDescent="0.25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5" x14ac:dyDescent="0.25">
      <c r="A26" s="140"/>
      <c r="B26" s="117" t="s">
        <v>155</v>
      </c>
      <c r="C26" s="252">
        <v>1</v>
      </c>
      <c r="D26" s="252"/>
      <c r="E26" s="252"/>
      <c r="F26" s="140"/>
      <c r="R26" t="s">
        <v>414</v>
      </c>
      <c r="S26" s="227">
        <v>181613656</v>
      </c>
      <c r="T26" t="s">
        <v>83</v>
      </c>
    </row>
    <row r="27" spans="1:20" ht="24" x14ac:dyDescent="0.25">
      <c r="A27" s="140"/>
      <c r="B27" s="147" t="s">
        <v>154</v>
      </c>
      <c r="C27" s="253" t="s">
        <v>448</v>
      </c>
      <c r="D27" s="253"/>
      <c r="E27" s="254"/>
      <c r="F27" s="140"/>
      <c r="R27" t="s">
        <v>192</v>
      </c>
      <c r="S27" s="227">
        <v>155475990</v>
      </c>
      <c r="T27" t="s">
        <v>83</v>
      </c>
    </row>
    <row r="28" spans="1:20" ht="15" x14ac:dyDescent="0.25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25">
      <c r="A29" s="140"/>
      <c r="B29" s="234" t="s">
        <v>149</v>
      </c>
      <c r="C29" s="260"/>
      <c r="D29" s="260"/>
      <c r="E29" s="260"/>
      <c r="F29" s="140"/>
      <c r="R29" t="s">
        <v>194</v>
      </c>
      <c r="S29" s="227">
        <v>255512870</v>
      </c>
      <c r="T29" t="s">
        <v>83</v>
      </c>
    </row>
    <row r="30" spans="1:20" ht="24" x14ac:dyDescent="0.25">
      <c r="A30" s="140"/>
      <c r="B30" s="234" t="s">
        <v>150</v>
      </c>
      <c r="C30" s="261"/>
      <c r="D30" s="261"/>
      <c r="E30" s="261"/>
      <c r="F30" s="140"/>
      <c r="R30" t="s">
        <v>195</v>
      </c>
      <c r="S30" s="227">
        <v>155461670</v>
      </c>
      <c r="T30" t="s">
        <v>83</v>
      </c>
    </row>
    <row r="31" spans="1:20" ht="15" x14ac:dyDescent="0.25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25">
      <c r="A32" s="140"/>
      <c r="B32" s="113"/>
      <c r="C32" s="256" t="s">
        <v>100</v>
      </c>
      <c r="D32" s="256"/>
      <c r="E32" s="257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25">
      <c r="A33" s="141"/>
      <c r="B33" s="149"/>
      <c r="C33" s="258" t="s">
        <v>56</v>
      </c>
      <c r="D33" s="258"/>
      <c r="E33" s="259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25">
      <c r="A34" s="140"/>
      <c r="B34" s="129"/>
      <c r="C34" s="269" t="s">
        <v>55</v>
      </c>
      <c r="D34" s="269"/>
      <c r="E34" s="270"/>
      <c r="F34" s="140"/>
      <c r="R34" t="s">
        <v>199</v>
      </c>
      <c r="S34" s="227">
        <v>256564350</v>
      </c>
      <c r="T34" t="s">
        <v>83</v>
      </c>
    </row>
    <row r="35" spans="1:20" ht="15" x14ac:dyDescent="0.25">
      <c r="A35" s="140"/>
      <c r="B35" s="129"/>
      <c r="C35" s="271" t="s">
        <v>54</v>
      </c>
      <c r="D35" s="271"/>
      <c r="E35" s="272"/>
      <c r="F35" s="140"/>
      <c r="R35" t="s">
        <v>200</v>
      </c>
      <c r="S35" s="227">
        <v>156576661</v>
      </c>
      <c r="T35" t="s">
        <v>83</v>
      </c>
    </row>
    <row r="36" spans="1:20" ht="25.5" thickBot="1" x14ac:dyDescent="0.3">
      <c r="A36" s="140"/>
      <c r="B36" s="150" t="s">
        <v>53</v>
      </c>
      <c r="C36" s="64" t="s">
        <v>432</v>
      </c>
      <c r="D36" s="64"/>
      <c r="E36" s="64" t="s">
        <v>433</v>
      </c>
      <c r="F36" s="140"/>
      <c r="R36" t="s">
        <v>201</v>
      </c>
      <c r="S36" s="227">
        <v>156737189</v>
      </c>
      <c r="T36" t="s">
        <v>83</v>
      </c>
    </row>
    <row r="37" spans="1:20" ht="15" x14ac:dyDescent="0.25">
      <c r="A37" s="140"/>
      <c r="B37" s="151" t="s">
        <v>52</v>
      </c>
      <c r="C37" s="51">
        <f>2039920/1000</f>
        <v>2039.92</v>
      </c>
      <c r="D37" s="69"/>
      <c r="E37" s="118">
        <f>2255517/1000</f>
        <v>2255.5169999999998</v>
      </c>
      <c r="F37" s="140"/>
      <c r="R37" t="s">
        <v>202</v>
      </c>
      <c r="S37" s="227">
        <v>156595252</v>
      </c>
      <c r="T37" t="s">
        <v>83</v>
      </c>
    </row>
    <row r="38" spans="1:20" ht="15" x14ac:dyDescent="0.25">
      <c r="A38" s="140"/>
      <c r="B38" s="151" t="s">
        <v>51</v>
      </c>
      <c r="C38" s="50">
        <f>1506625/1000</f>
        <v>1506.625</v>
      </c>
      <c r="D38" s="69"/>
      <c r="E38" s="119">
        <f>1656327/1000</f>
        <v>1656.327</v>
      </c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5" x14ac:dyDescent="0.25">
      <c r="A39" s="142"/>
      <c r="B39" s="152" t="s">
        <v>50</v>
      </c>
      <c r="C39" s="68">
        <f>+C37-C38</f>
        <v>533.29500000000007</v>
      </c>
      <c r="D39" s="69"/>
      <c r="E39" s="120">
        <f>+E37-E38</f>
        <v>599.18999999999983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5" x14ac:dyDescent="0.25">
      <c r="A40" s="142"/>
      <c r="B40" s="151" t="s">
        <v>89</v>
      </c>
      <c r="C40" s="54">
        <f>187326/1000</f>
        <v>187.32599999999999</v>
      </c>
      <c r="D40" s="76"/>
      <c r="E40" s="121">
        <f>204330/1000</f>
        <v>204.33</v>
      </c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5" x14ac:dyDescent="0.25">
      <c r="A41" s="140"/>
      <c r="B41" s="151" t="s">
        <v>90</v>
      </c>
      <c r="C41" s="49">
        <f>321214/1000</f>
        <v>321.214</v>
      </c>
      <c r="D41" s="76"/>
      <c r="E41" s="122">
        <f>361755/1000</f>
        <v>361.755</v>
      </c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5" x14ac:dyDescent="0.25">
      <c r="A42" s="142"/>
      <c r="B42" s="152" t="s">
        <v>91</v>
      </c>
      <c r="C42" s="68">
        <f>+C39-C40-C41</f>
        <v>24.755000000000052</v>
      </c>
      <c r="D42" s="69"/>
      <c r="E42" s="120">
        <f>+E39-E40-E41</f>
        <v>33.104999999999791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5" x14ac:dyDescent="0.25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5" x14ac:dyDescent="0.25">
      <c r="A44" s="140"/>
      <c r="B44" s="151" t="s">
        <v>88</v>
      </c>
      <c r="C44" s="49">
        <f>38739/1000</f>
        <v>38.738999999999997</v>
      </c>
      <c r="D44" s="76"/>
      <c r="E44" s="15">
        <f>80896/1000</f>
        <v>80.896000000000001</v>
      </c>
      <c r="F44" s="140"/>
      <c r="R44" t="s">
        <v>209</v>
      </c>
      <c r="S44" s="227">
        <v>158737526</v>
      </c>
      <c r="T44" t="s">
        <v>405</v>
      </c>
    </row>
    <row r="45" spans="1:20" ht="15" x14ac:dyDescent="0.25">
      <c r="A45" s="140"/>
      <c r="B45" s="151" t="s">
        <v>48</v>
      </c>
      <c r="C45" s="72">
        <f>C46-C47</f>
        <v>4.3999999999999997E-2</v>
      </c>
      <c r="D45" s="69"/>
      <c r="E45" s="124">
        <f>E46-E47</f>
        <v>8.7999999999999995E-2</v>
      </c>
      <c r="F45" s="140"/>
      <c r="R45" t="s">
        <v>210</v>
      </c>
      <c r="S45" s="227">
        <v>158834726</v>
      </c>
      <c r="T45" t="s">
        <v>83</v>
      </c>
    </row>
    <row r="46" spans="1:20" ht="15" x14ac:dyDescent="0.25">
      <c r="A46" s="140"/>
      <c r="B46" s="153" t="s">
        <v>47</v>
      </c>
      <c r="C46" s="52">
        <f>44/1000</f>
        <v>4.3999999999999997E-2</v>
      </c>
      <c r="D46" s="76"/>
      <c r="E46" s="125">
        <f>88/1000</f>
        <v>8.7999999999999995E-2</v>
      </c>
      <c r="F46" s="140"/>
      <c r="R46" t="s">
        <v>211</v>
      </c>
      <c r="S46" s="227">
        <v>158996646</v>
      </c>
      <c r="T46" t="s">
        <v>83</v>
      </c>
    </row>
    <row r="47" spans="1:20" ht="15" x14ac:dyDescent="0.25">
      <c r="A47" s="140"/>
      <c r="B47" s="153" t="s">
        <v>46</v>
      </c>
      <c r="C47" s="50"/>
      <c r="D47" s="76"/>
      <c r="E47" s="126"/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5" x14ac:dyDescent="0.25">
      <c r="A48" s="142"/>
      <c r="B48" s="152" t="s">
        <v>45</v>
      </c>
      <c r="C48" s="68">
        <f>+C42+C43+C44+C45</f>
        <v>63.538000000000046</v>
      </c>
      <c r="D48" s="69"/>
      <c r="E48" s="120">
        <f>+E42+E43+E44+E45</f>
        <v>114.08899999999979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5" x14ac:dyDescent="0.25">
      <c r="A49" s="140"/>
      <c r="B49" s="151" t="s">
        <v>44</v>
      </c>
      <c r="C49" s="15">
        <f>2824/1000</f>
        <v>2.8239999999999998</v>
      </c>
      <c r="D49" s="77"/>
      <c r="E49" s="127">
        <f>4132/1000</f>
        <v>4.1319999999999997</v>
      </c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5" x14ac:dyDescent="0.25">
      <c r="A50" s="142"/>
      <c r="B50" s="152" t="s">
        <v>43</v>
      </c>
      <c r="C50" s="68">
        <f>C48-C49</f>
        <v>60.714000000000048</v>
      </c>
      <c r="D50" s="69"/>
      <c r="E50" s="120">
        <f>E48-E49</f>
        <v>109.95699999999978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75" x14ac:dyDescent="0.25">
      <c r="A51" s="142"/>
      <c r="B51" s="154" t="s">
        <v>132</v>
      </c>
      <c r="C51" s="87"/>
      <c r="D51" s="77"/>
      <c r="E51" s="128"/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5" x14ac:dyDescent="0.25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25">
      <c r="A53" s="140"/>
      <c r="B53" s="129"/>
      <c r="C53" s="256" t="s">
        <v>100</v>
      </c>
      <c r="D53" s="256"/>
      <c r="E53" s="257"/>
      <c r="F53" s="140"/>
      <c r="R53" t="s">
        <v>218</v>
      </c>
      <c r="S53" s="227">
        <v>132684155</v>
      </c>
      <c r="T53" t="s">
        <v>83</v>
      </c>
    </row>
    <row r="54" spans="1:20" ht="25.5" thickBot="1" x14ac:dyDescent="0.3">
      <c r="A54" s="140"/>
      <c r="B54" s="150" t="s">
        <v>42</v>
      </c>
      <c r="C54" s="73" t="s">
        <v>434</v>
      </c>
      <c r="D54" s="64"/>
      <c r="E54" s="73" t="s">
        <v>435</v>
      </c>
      <c r="F54" s="140"/>
      <c r="R54" t="s">
        <v>219</v>
      </c>
      <c r="S54" s="227">
        <v>233923260</v>
      </c>
      <c r="T54" t="s">
        <v>83</v>
      </c>
    </row>
    <row r="55" spans="1:20" ht="15" x14ac:dyDescent="0.25">
      <c r="A55" s="140"/>
      <c r="B55" s="155" t="s">
        <v>41</v>
      </c>
      <c r="C55" s="1">
        <f>23242/1000</f>
        <v>23.242000000000001</v>
      </c>
      <c r="D55" s="65"/>
      <c r="E55" s="125">
        <f>31854/1000</f>
        <v>31.853999999999999</v>
      </c>
      <c r="F55" s="140"/>
      <c r="R55" t="s">
        <v>220</v>
      </c>
      <c r="S55" s="227">
        <v>133607044</v>
      </c>
      <c r="T55" t="s">
        <v>83</v>
      </c>
    </row>
    <row r="56" spans="1:20" ht="15" x14ac:dyDescent="0.25">
      <c r="A56" s="140"/>
      <c r="B56" s="155" t="s">
        <v>40</v>
      </c>
      <c r="C56" s="48">
        <f>21287415/1000</f>
        <v>21287.415000000001</v>
      </c>
      <c r="D56" s="76"/>
      <c r="E56" s="16">
        <f>21479439/1000</f>
        <v>21479.438999999998</v>
      </c>
      <c r="F56" s="140"/>
      <c r="R56" t="s">
        <v>221</v>
      </c>
      <c r="S56" s="227">
        <v>135641038</v>
      </c>
      <c r="T56" t="s">
        <v>83</v>
      </c>
    </row>
    <row r="57" spans="1:20" ht="15" x14ac:dyDescent="0.25">
      <c r="A57" s="140"/>
      <c r="B57" s="155" t="s">
        <v>39</v>
      </c>
      <c r="C57" s="48"/>
      <c r="D57" s="76"/>
      <c r="E57" s="16"/>
      <c r="F57" s="140"/>
      <c r="R57" t="s">
        <v>222</v>
      </c>
      <c r="S57" s="227">
        <v>132532496</v>
      </c>
      <c r="T57" t="s">
        <v>83</v>
      </c>
    </row>
    <row r="58" spans="1:20" ht="15" x14ac:dyDescent="0.25">
      <c r="A58" s="140"/>
      <c r="B58" s="155" t="s">
        <v>38</v>
      </c>
      <c r="C58" s="48"/>
      <c r="D58" s="76"/>
      <c r="E58" s="16"/>
      <c r="F58" s="140"/>
      <c r="R58" t="s">
        <v>223</v>
      </c>
      <c r="S58" s="227">
        <v>132626180</v>
      </c>
      <c r="T58" t="s">
        <v>405</v>
      </c>
    </row>
    <row r="59" spans="1:20" s="109" customFormat="1" ht="15" x14ac:dyDescent="0.25">
      <c r="A59" s="142"/>
      <c r="B59" s="156" t="s">
        <v>36</v>
      </c>
      <c r="C59" s="74">
        <f>SUM(C55:C58)</f>
        <v>21310.656999999999</v>
      </c>
      <c r="D59" s="69"/>
      <c r="E59" s="130">
        <f>SUM(E55:E58)</f>
        <v>21511.292999999998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25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25">
      <c r="A61" s="140"/>
      <c r="B61" s="157" t="s">
        <v>400</v>
      </c>
      <c r="C61" s="52">
        <f>129280/1000</f>
        <v>129.28</v>
      </c>
      <c r="D61" s="76"/>
      <c r="E61" s="125">
        <f>118876/1000</f>
        <v>118.876</v>
      </c>
      <c r="F61" s="140"/>
      <c r="R61" t="s">
        <v>226</v>
      </c>
      <c r="S61" s="227">
        <v>301846604</v>
      </c>
      <c r="T61" t="s">
        <v>83</v>
      </c>
    </row>
    <row r="62" spans="1:20" ht="15" x14ac:dyDescent="0.25">
      <c r="A62" s="140"/>
      <c r="B62" s="158" t="s">
        <v>34</v>
      </c>
      <c r="C62" s="48">
        <f>169732/1000</f>
        <v>169.732</v>
      </c>
      <c r="D62" s="76"/>
      <c r="E62" s="16">
        <f>174540/1000</f>
        <v>174.54</v>
      </c>
      <c r="F62" s="140"/>
      <c r="R62" t="s">
        <v>227</v>
      </c>
      <c r="S62" s="227">
        <v>166092559</v>
      </c>
      <c r="T62" t="s">
        <v>83</v>
      </c>
    </row>
    <row r="63" spans="1:20" ht="15" x14ac:dyDescent="0.25">
      <c r="A63" s="140"/>
      <c r="B63" s="159" t="s">
        <v>33</v>
      </c>
      <c r="C63" s="48"/>
      <c r="D63" s="76"/>
      <c r="E63" s="16"/>
      <c r="F63" s="140"/>
      <c r="R63" t="s">
        <v>228</v>
      </c>
      <c r="S63" s="227">
        <v>165695198</v>
      </c>
      <c r="T63" t="s">
        <v>83</v>
      </c>
    </row>
    <row r="64" spans="1:20" ht="15" x14ac:dyDescent="0.25">
      <c r="A64" s="140"/>
      <c r="B64" s="159" t="s">
        <v>32</v>
      </c>
      <c r="C64" s="50">
        <f>116721/1000</f>
        <v>116.721</v>
      </c>
      <c r="D64" s="76"/>
      <c r="E64" s="126">
        <f>72746/1000</f>
        <v>72.745999999999995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25">
      <c r="A65" s="142"/>
      <c r="B65" s="156" t="s">
        <v>31</v>
      </c>
      <c r="C65" s="74">
        <f>SUM(C61:C64)</f>
        <v>415.733</v>
      </c>
      <c r="D65" s="69"/>
      <c r="E65" s="130">
        <f>SUM(E61:E64)</f>
        <v>366.16199999999998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25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25">
      <c r="A67" s="142"/>
      <c r="B67" s="156" t="s">
        <v>92</v>
      </c>
      <c r="C67" s="16">
        <f>32978/1000</f>
        <v>32.978000000000002</v>
      </c>
      <c r="D67" s="77"/>
      <c r="E67" s="132">
        <f>45593/1000</f>
        <v>45.593000000000004</v>
      </c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25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5" x14ac:dyDescent="0.25">
      <c r="A69" s="142"/>
      <c r="B69" s="156" t="s">
        <v>30</v>
      </c>
      <c r="C69" s="48"/>
      <c r="D69" s="76"/>
      <c r="E69" s="16"/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25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5" x14ac:dyDescent="0.25">
      <c r="A71" s="142"/>
      <c r="B71" s="160" t="s">
        <v>29</v>
      </c>
      <c r="C71" s="74">
        <f>SUM(C59,C65,C67,C69)</f>
        <v>21759.367999999999</v>
      </c>
      <c r="D71" s="69"/>
      <c r="E71" s="130">
        <f>SUM(E59,E65,E67,E69)</f>
        <v>21923.047999999999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5" x14ac:dyDescent="0.25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25">
      <c r="A73" s="142"/>
      <c r="B73" s="162" t="s">
        <v>140</v>
      </c>
      <c r="C73" s="4">
        <f>8095254/1000</f>
        <v>8095.2539999999999</v>
      </c>
      <c r="D73" s="76"/>
      <c r="E73" s="16">
        <f>8095254/1000</f>
        <v>8095.2539999999999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5" x14ac:dyDescent="0.25">
      <c r="A74" s="142"/>
      <c r="B74" s="163" t="s">
        <v>28</v>
      </c>
      <c r="C74" s="4">
        <f>8095254/1000</f>
        <v>8095.2539999999999</v>
      </c>
      <c r="D74" s="76"/>
      <c r="E74" s="16">
        <f>8095254/1000</f>
        <v>8095.2539999999999</v>
      </c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24.75" x14ac:dyDescent="0.25">
      <c r="A75" s="142"/>
      <c r="B75" s="162" t="s">
        <v>27</v>
      </c>
      <c r="C75" s="4"/>
      <c r="D75" s="76"/>
      <c r="E75" s="16"/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5" x14ac:dyDescent="0.25">
      <c r="A76" s="142"/>
      <c r="B76" s="162" t="s">
        <v>87</v>
      </c>
      <c r="C76" s="4"/>
      <c r="D76" s="76"/>
      <c r="E76" s="16"/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5" x14ac:dyDescent="0.25">
      <c r="A77" s="142"/>
      <c r="B77" s="230" t="s">
        <v>401</v>
      </c>
      <c r="C77" s="4"/>
      <c r="D77" s="76"/>
      <c r="E77" s="16"/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5" x14ac:dyDescent="0.25">
      <c r="A78" s="142"/>
      <c r="B78" s="162" t="s">
        <v>26</v>
      </c>
      <c r="C78" s="4"/>
      <c r="D78" s="76"/>
      <c r="E78" s="16"/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5" x14ac:dyDescent="0.25">
      <c r="A79" s="142"/>
      <c r="B79" s="162" t="s">
        <v>25</v>
      </c>
      <c r="C79" s="4">
        <f>24971/1000</f>
        <v>24.971</v>
      </c>
      <c r="D79" s="76"/>
      <c r="E79" s="16">
        <f>78007/1000</f>
        <v>78.007000000000005</v>
      </c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5" x14ac:dyDescent="0.25">
      <c r="A80" s="142"/>
      <c r="B80" s="163" t="s">
        <v>24</v>
      </c>
      <c r="C80" s="4">
        <f>24970/1000</f>
        <v>24.97</v>
      </c>
      <c r="D80" s="76"/>
      <c r="E80" s="16">
        <f>28006/1000</f>
        <v>28.006</v>
      </c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5" x14ac:dyDescent="0.25">
      <c r="A81" s="142"/>
      <c r="B81" s="162" t="s">
        <v>23</v>
      </c>
      <c r="C81" s="4">
        <f>66082/1000</f>
        <v>66.081999999999994</v>
      </c>
      <c r="D81" s="76"/>
      <c r="E81" s="16">
        <f>117003/1000</f>
        <v>117.003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25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5" x14ac:dyDescent="0.25">
      <c r="A83" s="142"/>
      <c r="B83" s="152" t="s">
        <v>22</v>
      </c>
      <c r="C83" s="74">
        <f>SUM(C73,C75:C79,C81:C81)</f>
        <v>8186.3069999999998</v>
      </c>
      <c r="D83" s="69"/>
      <c r="E83" s="130">
        <f>SUM(E73,E75:E79,E81:E81)</f>
        <v>8290.2639999999992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25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5" x14ac:dyDescent="0.25">
      <c r="A85" s="142"/>
      <c r="B85" s="152" t="s">
        <v>21</v>
      </c>
      <c r="C85" s="16">
        <f>12904507/1000</f>
        <v>12904.507</v>
      </c>
      <c r="D85" s="90"/>
      <c r="E85" s="133">
        <f>13156565/1000</f>
        <v>13156.565000000001</v>
      </c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5" x14ac:dyDescent="0.25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5" x14ac:dyDescent="0.25">
      <c r="A87" s="142"/>
      <c r="B87" s="152" t="s">
        <v>93</v>
      </c>
      <c r="C87" s="5"/>
      <c r="D87" s="77"/>
      <c r="E87" s="127"/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25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5" x14ac:dyDescent="0.25">
      <c r="A89" s="140"/>
      <c r="B89" s="153" t="s">
        <v>403</v>
      </c>
      <c r="C89" s="48"/>
      <c r="D89" s="76"/>
      <c r="E89" s="16"/>
      <c r="F89" s="140"/>
      <c r="R89" t="s">
        <v>254</v>
      </c>
      <c r="S89" s="227">
        <v>164742773</v>
      </c>
      <c r="T89" t="s">
        <v>83</v>
      </c>
    </row>
    <row r="90" spans="1:20" ht="15" x14ac:dyDescent="0.25">
      <c r="A90" s="140"/>
      <c r="B90" s="164" t="s">
        <v>19</v>
      </c>
      <c r="C90" s="48"/>
      <c r="D90" s="76"/>
      <c r="E90" s="16"/>
      <c r="F90" s="140"/>
      <c r="R90" t="s">
        <v>255</v>
      </c>
      <c r="S90" s="227">
        <v>164702526</v>
      </c>
      <c r="T90" t="s">
        <v>83</v>
      </c>
    </row>
    <row r="91" spans="1:20" ht="15" x14ac:dyDescent="0.25">
      <c r="A91" s="140"/>
      <c r="B91" s="153" t="s">
        <v>404</v>
      </c>
      <c r="C91" s="48">
        <f>668554/1000</f>
        <v>668.55399999999997</v>
      </c>
      <c r="D91" s="76"/>
      <c r="E91" s="16">
        <f>476219/1000</f>
        <v>476.21899999999999</v>
      </c>
      <c r="F91" s="140"/>
      <c r="R91" t="s">
        <v>256</v>
      </c>
      <c r="S91" s="227">
        <v>164702145</v>
      </c>
      <c r="T91" t="s">
        <v>83</v>
      </c>
    </row>
    <row r="92" spans="1:20" ht="15" x14ac:dyDescent="0.25">
      <c r="A92" s="140"/>
      <c r="B92" s="164" t="s">
        <v>17</v>
      </c>
      <c r="C92" s="48"/>
      <c r="D92" s="76"/>
      <c r="E92" s="16"/>
      <c r="F92" s="140"/>
      <c r="R92" t="s">
        <v>257</v>
      </c>
      <c r="S92" s="227">
        <v>165219441</v>
      </c>
      <c r="T92" t="s">
        <v>83</v>
      </c>
    </row>
    <row r="93" spans="1:20" ht="15" x14ac:dyDescent="0.25">
      <c r="A93" s="140"/>
      <c r="B93" s="165" t="s">
        <v>16</v>
      </c>
      <c r="C93" s="48"/>
      <c r="D93" s="76"/>
      <c r="E93" s="16"/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5" x14ac:dyDescent="0.25">
      <c r="A94" s="142"/>
      <c r="B94" s="152" t="s">
        <v>15</v>
      </c>
      <c r="C94" s="74">
        <f>SUM(C89,C91)</f>
        <v>668.55399999999997</v>
      </c>
      <c r="D94" s="69"/>
      <c r="E94" s="130">
        <f>SUM(E89,E91)</f>
        <v>476.21899999999999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5" x14ac:dyDescent="0.25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5" x14ac:dyDescent="0.25">
      <c r="A96" s="142"/>
      <c r="B96" s="152" t="s">
        <v>94</v>
      </c>
      <c r="C96" s="16"/>
      <c r="D96" s="77"/>
      <c r="E96" s="132"/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25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5" x14ac:dyDescent="0.25">
      <c r="A98" s="142"/>
      <c r="B98" s="152" t="s">
        <v>14</v>
      </c>
      <c r="C98" s="16"/>
      <c r="D98" s="77"/>
      <c r="E98" s="16"/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25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5" x14ac:dyDescent="0.25">
      <c r="A100" s="142"/>
      <c r="B100" s="152" t="s">
        <v>13</v>
      </c>
      <c r="C100" s="74">
        <f>SUM(C83,C85,C87,C94,C96,C98)</f>
        <v>21759.367999999999</v>
      </c>
      <c r="D100" s="69"/>
      <c r="E100" s="130">
        <f>SUM(E83,E85,E87,E94,E96,E98)</f>
        <v>21923.047999999999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5" x14ac:dyDescent="0.25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5" x14ac:dyDescent="0.25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415</v>
      </c>
      <c r="S102" s="227">
        <v>166576994</v>
      </c>
      <c r="T102" t="s">
        <v>83</v>
      </c>
    </row>
    <row r="103" spans="1:20" ht="15" x14ac:dyDescent="0.25">
      <c r="A103" s="140"/>
      <c r="B103" s="129"/>
      <c r="C103" s="69"/>
      <c r="D103" s="69"/>
      <c r="E103" s="129"/>
      <c r="F103" s="140"/>
      <c r="R103" t="s">
        <v>416</v>
      </c>
      <c r="S103" s="227">
        <v>166552032</v>
      </c>
      <c r="T103" t="s">
        <v>83</v>
      </c>
    </row>
    <row r="104" spans="1:20" ht="15" x14ac:dyDescent="0.25">
      <c r="A104" s="140"/>
      <c r="B104" s="235" t="s">
        <v>151</v>
      </c>
      <c r="C104" s="88">
        <v>8419.9</v>
      </c>
      <c r="D104" s="236"/>
      <c r="E104" s="136">
        <v>8841.7999999999993</v>
      </c>
      <c r="F104" s="140"/>
      <c r="R104" t="s">
        <v>417</v>
      </c>
      <c r="S104" s="227">
        <v>166445258</v>
      </c>
      <c r="T104" t="s">
        <v>83</v>
      </c>
    </row>
    <row r="105" spans="1:20" ht="15" x14ac:dyDescent="0.25">
      <c r="A105" s="140"/>
      <c r="B105" s="129"/>
      <c r="C105" s="69"/>
      <c r="D105" s="69"/>
      <c r="E105" s="129"/>
      <c r="F105" s="140"/>
      <c r="R105" t="s">
        <v>418</v>
      </c>
      <c r="S105" s="227">
        <v>167520735</v>
      </c>
      <c r="T105" t="s">
        <v>83</v>
      </c>
    </row>
    <row r="106" spans="1:20" ht="20.45" customHeight="1" x14ac:dyDescent="0.25">
      <c r="A106" s="140"/>
      <c r="B106" s="151"/>
      <c r="C106" s="256" t="s">
        <v>100</v>
      </c>
      <c r="D106" s="256"/>
      <c r="E106" s="257"/>
      <c r="F106" s="140"/>
      <c r="R106" t="s">
        <v>419</v>
      </c>
      <c r="S106" s="227">
        <v>167610175</v>
      </c>
      <c r="T106" t="s">
        <v>83</v>
      </c>
    </row>
    <row r="107" spans="1:20" ht="25.5" thickBot="1" x14ac:dyDescent="0.3">
      <c r="A107" s="140"/>
      <c r="B107" s="150" t="s">
        <v>11</v>
      </c>
      <c r="C107" s="64" t="str">
        <f>C36</f>
        <v>Praėjęs ataskaitinis laikotarpis 2018 metai</v>
      </c>
      <c r="D107" s="64"/>
      <c r="E107" s="64" t="str">
        <f>E36</f>
        <v>Ataskaitinis laikotarpis            2019 metai</v>
      </c>
      <c r="F107" s="140"/>
      <c r="R107" t="s">
        <v>420</v>
      </c>
      <c r="S107" s="227">
        <v>167500661</v>
      </c>
      <c r="T107" t="s">
        <v>83</v>
      </c>
    </row>
    <row r="108" spans="1:20" ht="24.75" x14ac:dyDescent="0.25">
      <c r="A108" s="140"/>
      <c r="B108" s="169" t="s">
        <v>10</v>
      </c>
      <c r="C108" s="16">
        <v>435.5</v>
      </c>
      <c r="D108" s="77"/>
      <c r="E108" s="132">
        <v>462.9</v>
      </c>
      <c r="F108" s="140"/>
      <c r="R108" t="s">
        <v>421</v>
      </c>
      <c r="S108" s="227">
        <v>167524751</v>
      </c>
      <c r="T108" t="s">
        <v>83</v>
      </c>
    </row>
    <row r="109" spans="1:20" ht="15" x14ac:dyDescent="0.25">
      <c r="A109" s="140"/>
      <c r="B109" s="169" t="s">
        <v>412</v>
      </c>
      <c r="C109" s="15">
        <v>1681.4</v>
      </c>
      <c r="D109" s="129"/>
      <c r="E109" s="15">
        <v>1279.2</v>
      </c>
      <c r="F109" s="140"/>
      <c r="R109" t="s">
        <v>422</v>
      </c>
      <c r="S109" s="227">
        <v>152703524</v>
      </c>
      <c r="T109" t="s">
        <v>83</v>
      </c>
    </row>
    <row r="110" spans="1:20" ht="24.75" x14ac:dyDescent="0.25">
      <c r="A110" s="140"/>
      <c r="B110" s="170" t="s">
        <v>141</v>
      </c>
      <c r="C110" s="48" t="s">
        <v>465</v>
      </c>
      <c r="D110" s="76"/>
      <c r="E110" s="16" t="s">
        <v>465</v>
      </c>
      <c r="F110" s="140"/>
      <c r="H110" s="60" t="s">
        <v>408</v>
      </c>
      <c r="R110" t="s">
        <v>423</v>
      </c>
      <c r="S110" s="227">
        <v>152768582</v>
      </c>
      <c r="T110" t="s">
        <v>83</v>
      </c>
    </row>
    <row r="111" spans="1:20" ht="15" x14ac:dyDescent="0.25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5" x14ac:dyDescent="0.25">
      <c r="A112" s="140"/>
      <c r="B112" s="167" t="s">
        <v>406</v>
      </c>
      <c r="C112" s="225">
        <v>292.60000000000002</v>
      </c>
      <c r="D112" s="80"/>
      <c r="E112" s="225">
        <v>207.3</v>
      </c>
      <c r="F112" s="140"/>
      <c r="R112" t="s">
        <v>268</v>
      </c>
      <c r="S112" s="227">
        <v>177390158</v>
      </c>
      <c r="T112" t="s">
        <v>83</v>
      </c>
    </row>
    <row r="113" spans="1:22" ht="15" x14ac:dyDescent="0.25">
      <c r="A113" s="140"/>
      <c r="B113" s="226" t="s">
        <v>411</v>
      </c>
      <c r="C113" s="95">
        <v>1040.5</v>
      </c>
      <c r="D113" s="80"/>
      <c r="E113" s="95">
        <v>554.5</v>
      </c>
      <c r="F113" s="140"/>
      <c r="R113" t="s">
        <v>269</v>
      </c>
      <c r="S113" s="227">
        <v>167904337</v>
      </c>
      <c r="T113" t="s">
        <v>83</v>
      </c>
    </row>
    <row r="114" spans="1:22" ht="15" x14ac:dyDescent="0.25">
      <c r="A114" s="140"/>
      <c r="B114" s="226" t="s">
        <v>407</v>
      </c>
      <c r="C114" s="95" t="s">
        <v>466</v>
      </c>
      <c r="D114" s="80"/>
      <c r="E114" s="95" t="s">
        <v>465</v>
      </c>
      <c r="F114" s="140"/>
      <c r="R114" t="s">
        <v>270</v>
      </c>
      <c r="S114" s="227">
        <v>167909640</v>
      </c>
      <c r="T114" t="s">
        <v>83</v>
      </c>
    </row>
    <row r="115" spans="1:22" ht="15" x14ac:dyDescent="0.25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15" x14ac:dyDescent="0.25">
      <c r="A116" s="140"/>
      <c r="B116" s="237" t="s">
        <v>410</v>
      </c>
      <c r="C116" s="243"/>
      <c r="D116" s="80"/>
      <c r="E116" s="225"/>
      <c r="F116" s="140"/>
      <c r="R116" t="s">
        <v>272</v>
      </c>
      <c r="S116" s="227">
        <v>167900463</v>
      </c>
      <c r="T116" t="s">
        <v>84</v>
      </c>
    </row>
    <row r="117" spans="1:22" ht="15" x14ac:dyDescent="0.25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5" thickBot="1" x14ac:dyDescent="0.3">
      <c r="A118" s="140"/>
      <c r="B118" s="150" t="s">
        <v>9</v>
      </c>
      <c r="C118" s="64" t="str">
        <f>C36</f>
        <v>Praėjęs ataskaitinis laikotarpis 2018 metai</v>
      </c>
      <c r="D118" s="64"/>
      <c r="E118" s="64" t="str">
        <f>E36</f>
        <v>Ataskaitinis laikotarpis            2019 metai</v>
      </c>
      <c r="F118" s="140"/>
      <c r="R118" t="s">
        <v>274</v>
      </c>
      <c r="S118" s="227">
        <v>152409729</v>
      </c>
      <c r="T118" t="s">
        <v>83</v>
      </c>
    </row>
    <row r="119" spans="1:22" ht="15" x14ac:dyDescent="0.25">
      <c r="A119" s="140"/>
      <c r="B119" s="238" t="s">
        <v>158</v>
      </c>
      <c r="C119" s="94">
        <v>88</v>
      </c>
      <c r="D119" s="239"/>
      <c r="E119" s="138">
        <v>86</v>
      </c>
      <c r="F119" s="140"/>
      <c r="R119" t="s">
        <v>275</v>
      </c>
      <c r="S119" s="227">
        <v>152697886</v>
      </c>
      <c r="T119" t="s">
        <v>83</v>
      </c>
    </row>
    <row r="120" spans="1:22" ht="15" x14ac:dyDescent="0.25">
      <c r="A120" s="140"/>
      <c r="B120" s="240" t="s">
        <v>142</v>
      </c>
      <c r="C120" s="95">
        <v>13</v>
      </c>
      <c r="D120" s="241"/>
      <c r="E120" s="16">
        <v>13</v>
      </c>
      <c r="F120" s="140"/>
      <c r="R120" t="s">
        <v>424</v>
      </c>
      <c r="S120" s="227">
        <v>152492671</v>
      </c>
      <c r="T120" t="s">
        <v>83</v>
      </c>
    </row>
    <row r="121" spans="1:22" ht="15" x14ac:dyDescent="0.25">
      <c r="A121" s="140"/>
      <c r="B121" s="238" t="s">
        <v>159</v>
      </c>
      <c r="C121" s="95">
        <v>83.4</v>
      </c>
      <c r="D121" s="241"/>
      <c r="E121" s="16">
        <v>81.3</v>
      </c>
      <c r="F121" s="140"/>
      <c r="R121" t="s">
        <v>425</v>
      </c>
      <c r="S121" s="227">
        <v>304942928</v>
      </c>
      <c r="T121" t="s">
        <v>405</v>
      </c>
    </row>
    <row r="122" spans="1:22" ht="15" x14ac:dyDescent="0.25">
      <c r="A122" s="140"/>
      <c r="B122" s="238" t="s">
        <v>160</v>
      </c>
      <c r="C122" s="95">
        <f>908996.81/1000</f>
        <v>908.9968100000001</v>
      </c>
      <c r="D122" s="231"/>
      <c r="E122" s="133">
        <f>1241445.17/1000</f>
        <v>1241.44517</v>
      </c>
      <c r="F122" s="140"/>
      <c r="R122" s="228" t="s">
        <v>426</v>
      </c>
      <c r="S122" s="228">
        <v>147248313</v>
      </c>
      <c r="T122" t="s">
        <v>84</v>
      </c>
    </row>
    <row r="123" spans="1:22" ht="25.5" customHeight="1" thickBot="1" x14ac:dyDescent="0.3">
      <c r="A123" s="140"/>
      <c r="B123" s="242" t="s">
        <v>8</v>
      </c>
      <c r="C123" s="183"/>
      <c r="D123" s="93"/>
      <c r="E123" s="224"/>
      <c r="F123" s="140"/>
      <c r="R123" s="228" t="s">
        <v>427</v>
      </c>
      <c r="S123">
        <v>147104754</v>
      </c>
      <c r="T123" t="s">
        <v>83</v>
      </c>
    </row>
    <row r="124" spans="1:22" ht="12" customHeight="1" x14ac:dyDescent="0.25">
      <c r="A124" s="140"/>
      <c r="B124" s="175"/>
      <c r="C124" s="275"/>
      <c r="D124" s="275"/>
      <c r="E124" s="275"/>
      <c r="F124" s="140"/>
      <c r="R124" t="s">
        <v>428</v>
      </c>
      <c r="S124" s="227">
        <v>247025610</v>
      </c>
      <c r="T124" t="s">
        <v>84</v>
      </c>
    </row>
    <row r="125" spans="1:22" s="112" customFormat="1" ht="25.15" customHeight="1" x14ac:dyDescent="0.25">
      <c r="A125" s="143"/>
      <c r="B125" s="176"/>
      <c r="C125" s="255" t="s">
        <v>436</v>
      </c>
      <c r="D125" s="255"/>
      <c r="E125" s="255"/>
      <c r="F125" s="143"/>
      <c r="R125" t="s">
        <v>429</v>
      </c>
      <c r="S125" s="227">
        <v>147024322</v>
      </c>
      <c r="T125" t="s">
        <v>83</v>
      </c>
      <c r="U125" s="60"/>
      <c r="V125" s="60"/>
    </row>
    <row r="126" spans="1:22" s="112" customFormat="1" ht="15" x14ac:dyDescent="0.25">
      <c r="A126" s="143"/>
      <c r="B126" s="176" t="s">
        <v>116</v>
      </c>
      <c r="C126" s="99" t="str">
        <f>IF(COUNTA(C130:C139)=0,"nėra",COUNTA(C130:C139))</f>
        <v>nėra</v>
      </c>
      <c r="D126" s="97"/>
      <c r="E126" s="97"/>
      <c r="F126" s="143"/>
      <c r="R126" t="s">
        <v>430</v>
      </c>
      <c r="S126" s="227">
        <v>147146714</v>
      </c>
      <c r="T126" t="s">
        <v>84</v>
      </c>
      <c r="U126" s="60"/>
      <c r="V126" s="60"/>
    </row>
    <row r="127" spans="1:22" s="112" customFormat="1" ht="15" x14ac:dyDescent="0.25">
      <c r="A127" s="143"/>
      <c r="B127" s="177" t="s">
        <v>117</v>
      </c>
      <c r="C127" s="276"/>
      <c r="D127" s="276"/>
      <c r="E127" s="276"/>
      <c r="F127" s="143"/>
      <c r="R127" t="s">
        <v>276</v>
      </c>
      <c r="S127" s="227">
        <v>147026330</v>
      </c>
      <c r="T127" t="s">
        <v>83</v>
      </c>
    </row>
    <row r="128" spans="1:22" s="112" customFormat="1" ht="15" x14ac:dyDescent="0.25">
      <c r="A128" s="143"/>
      <c r="B128" s="178" t="s">
        <v>118</v>
      </c>
      <c r="C128" s="277"/>
      <c r="D128" s="277"/>
      <c r="E128" s="277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25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15" x14ac:dyDescent="0.25">
      <c r="A130" s="143"/>
      <c r="B130" s="159" t="s">
        <v>123</v>
      </c>
      <c r="C130" s="18"/>
      <c r="D130" s="15"/>
      <c r="E130" s="17"/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15" x14ac:dyDescent="0.25">
      <c r="A131" s="143"/>
      <c r="B131" s="159" t="s">
        <v>125</v>
      </c>
      <c r="C131" s="12"/>
      <c r="D131" s="19"/>
      <c r="E131" s="17"/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15" x14ac:dyDescent="0.25">
      <c r="A132" s="143"/>
      <c r="B132" s="159" t="s">
        <v>125</v>
      </c>
      <c r="C132" s="12"/>
      <c r="D132" s="19"/>
      <c r="E132" s="17"/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15" x14ac:dyDescent="0.25">
      <c r="A133" s="143"/>
      <c r="B133" s="159" t="s">
        <v>125</v>
      </c>
      <c r="C133" s="12"/>
      <c r="D133" s="19"/>
      <c r="E133" s="17"/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15" x14ac:dyDescent="0.25">
      <c r="A134" s="143"/>
      <c r="B134" s="159" t="s">
        <v>125</v>
      </c>
      <c r="C134" s="12"/>
      <c r="D134" s="19"/>
      <c r="E134" s="17"/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15" x14ac:dyDescent="0.25">
      <c r="A135" s="143"/>
      <c r="B135" s="159" t="s">
        <v>125</v>
      </c>
      <c r="C135" s="12"/>
      <c r="D135" s="19"/>
      <c r="E135" s="17"/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15" x14ac:dyDescent="0.25">
      <c r="A136" s="143"/>
      <c r="B136" s="159" t="s">
        <v>125</v>
      </c>
      <c r="C136" s="12"/>
      <c r="D136" s="19"/>
      <c r="E136" s="17"/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5" x14ac:dyDescent="0.25">
      <c r="A137" s="143"/>
      <c r="B137" s="159" t="s">
        <v>125</v>
      </c>
      <c r="C137" s="12"/>
      <c r="D137" s="19"/>
      <c r="E137" s="17"/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5" x14ac:dyDescent="0.25">
      <c r="A138" s="143"/>
      <c r="B138" s="159" t="s">
        <v>125</v>
      </c>
      <c r="C138" s="12"/>
      <c r="D138" s="19"/>
      <c r="E138" s="17"/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5" x14ac:dyDescent="0.25">
      <c r="A139" s="143"/>
      <c r="B139" s="159" t="s">
        <v>125</v>
      </c>
      <c r="C139" s="12"/>
      <c r="D139" s="19"/>
      <c r="E139" s="17"/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5" x14ac:dyDescent="0.25">
      <c r="A140" s="143"/>
      <c r="B140" s="159" t="s">
        <v>125</v>
      </c>
      <c r="C140" s="12"/>
      <c r="D140" s="19"/>
      <c r="E140" s="17"/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5" x14ac:dyDescent="0.25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5" x14ac:dyDescent="0.25">
      <c r="A142" s="143"/>
      <c r="B142" s="176" t="s">
        <v>126</v>
      </c>
      <c r="C142" s="99" t="str">
        <f>IF(COUNTA(C146:C155)=0,"nėra",COUNTA(C146:C155))</f>
        <v>nėra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5" x14ac:dyDescent="0.25">
      <c r="A143" s="143"/>
      <c r="B143" s="177" t="s">
        <v>127</v>
      </c>
      <c r="C143" s="276"/>
      <c r="D143" s="276"/>
      <c r="E143" s="276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25">
      <c r="A144" s="143"/>
      <c r="B144" s="178" t="s">
        <v>128</v>
      </c>
      <c r="C144" s="276"/>
      <c r="D144" s="276"/>
      <c r="E144" s="276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25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5" x14ac:dyDescent="0.25">
      <c r="A146" s="143"/>
      <c r="B146" s="159" t="s">
        <v>130</v>
      </c>
      <c r="C146" s="12"/>
      <c r="D146" s="15"/>
      <c r="E146" s="18"/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5" x14ac:dyDescent="0.25">
      <c r="A147" s="143"/>
      <c r="B147" s="159" t="s">
        <v>131</v>
      </c>
      <c r="C147" s="12"/>
      <c r="D147" s="19"/>
      <c r="E147" s="18"/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5" x14ac:dyDescent="0.25">
      <c r="A148" s="143"/>
      <c r="B148" s="159" t="s">
        <v>131</v>
      </c>
      <c r="C148" s="12"/>
      <c r="D148" s="19"/>
      <c r="E148" s="18"/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5" x14ac:dyDescent="0.25">
      <c r="A149" s="143"/>
      <c r="B149" s="159" t="s">
        <v>131</v>
      </c>
      <c r="C149" s="12"/>
      <c r="D149" s="19"/>
      <c r="E149" s="18"/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5" x14ac:dyDescent="0.25">
      <c r="A150" s="143"/>
      <c r="B150" s="159" t="s">
        <v>131</v>
      </c>
      <c r="C150" s="12"/>
      <c r="D150" s="19"/>
      <c r="E150" s="18"/>
      <c r="F150" s="143"/>
      <c r="R150" t="s">
        <v>299</v>
      </c>
      <c r="S150" s="227">
        <v>302044607</v>
      </c>
      <c r="T150" t="s">
        <v>405</v>
      </c>
    </row>
    <row r="151" spans="1:22" s="112" customFormat="1" ht="15" x14ac:dyDescent="0.25">
      <c r="A151" s="143"/>
      <c r="B151" s="159" t="s">
        <v>131</v>
      </c>
      <c r="C151" s="12"/>
      <c r="D151" s="19"/>
      <c r="E151" s="18"/>
      <c r="F151" s="143"/>
      <c r="R151" t="s">
        <v>300</v>
      </c>
      <c r="S151" s="227">
        <v>171668992</v>
      </c>
      <c r="T151" t="s">
        <v>83</v>
      </c>
    </row>
    <row r="152" spans="1:22" s="112" customFormat="1" ht="15" x14ac:dyDescent="0.25">
      <c r="A152" s="143"/>
      <c r="B152" s="159" t="s">
        <v>131</v>
      </c>
      <c r="C152" s="12"/>
      <c r="D152" s="19"/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5" x14ac:dyDescent="0.25">
      <c r="A153" s="143"/>
      <c r="B153" s="159" t="s">
        <v>131</v>
      </c>
      <c r="C153" s="12"/>
      <c r="D153" s="19"/>
      <c r="E153" s="18"/>
      <c r="F153" s="143"/>
      <c r="R153" t="s">
        <v>302</v>
      </c>
      <c r="S153" s="227">
        <v>173053453</v>
      </c>
      <c r="T153" t="s">
        <v>83</v>
      </c>
    </row>
    <row r="154" spans="1:22" s="112" customFormat="1" ht="15" x14ac:dyDescent="0.25">
      <c r="A154" s="143"/>
      <c r="B154" s="159" t="s">
        <v>131</v>
      </c>
      <c r="C154" s="12"/>
      <c r="D154" s="19"/>
      <c r="E154" s="18"/>
      <c r="F154" s="143"/>
      <c r="R154" t="s">
        <v>303</v>
      </c>
      <c r="S154" s="227">
        <v>173001047</v>
      </c>
      <c r="T154" t="s">
        <v>84</v>
      </c>
    </row>
    <row r="155" spans="1:22" s="112" customFormat="1" ht="11.45" customHeight="1" x14ac:dyDescent="0.25">
      <c r="A155" s="143"/>
      <c r="B155" s="159" t="s">
        <v>131</v>
      </c>
      <c r="C155" s="12"/>
      <c r="D155" s="19"/>
      <c r="E155" s="18"/>
      <c r="F155" s="143"/>
      <c r="R155" t="s">
        <v>304</v>
      </c>
      <c r="S155" s="227">
        <v>173000664</v>
      </c>
      <c r="T155" t="s">
        <v>84</v>
      </c>
    </row>
    <row r="156" spans="1:22" s="112" customFormat="1" ht="15" x14ac:dyDescent="0.25">
      <c r="A156" s="143"/>
      <c r="B156" s="159" t="s">
        <v>131</v>
      </c>
      <c r="C156" s="12"/>
      <c r="D156" s="19"/>
      <c r="E156" s="18"/>
      <c r="F156" s="143"/>
      <c r="R156" t="s">
        <v>305</v>
      </c>
      <c r="S156" s="227">
        <v>273889830</v>
      </c>
      <c r="T156" t="s">
        <v>83</v>
      </c>
    </row>
    <row r="157" spans="1:22" s="112" customFormat="1" ht="15" x14ac:dyDescent="0.25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25">
      <c r="A159" s="140"/>
      <c r="B159" s="179" t="s">
        <v>5</v>
      </c>
      <c r="C159" s="267"/>
      <c r="D159" s="267"/>
      <c r="E159" s="268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5" x14ac:dyDescent="0.25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5" x14ac:dyDescent="0.25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25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5" x14ac:dyDescent="0.25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5" x14ac:dyDescent="0.25">
      <c r="A164" s="140"/>
      <c r="B164" s="129" t="s">
        <v>3</v>
      </c>
      <c r="C164" s="273">
        <v>43948</v>
      </c>
      <c r="D164" s="273"/>
      <c r="E164" s="273"/>
      <c r="F164" s="140"/>
      <c r="R164" t="s">
        <v>313</v>
      </c>
      <c r="S164" s="227">
        <v>174919318</v>
      </c>
      <c r="T164" t="s">
        <v>83</v>
      </c>
    </row>
    <row r="165" spans="1:20" ht="15" x14ac:dyDescent="0.25">
      <c r="A165" s="140"/>
      <c r="B165" s="129" t="s">
        <v>2</v>
      </c>
      <c r="C165" s="274" t="s">
        <v>463</v>
      </c>
      <c r="D165" s="274"/>
      <c r="E165" s="274"/>
      <c r="F165" s="140"/>
      <c r="R165" t="s">
        <v>314</v>
      </c>
      <c r="S165" s="227">
        <v>174992914</v>
      </c>
      <c r="T165" t="s">
        <v>83</v>
      </c>
    </row>
    <row r="166" spans="1:20" ht="24.75" x14ac:dyDescent="0.25">
      <c r="A166" s="140"/>
      <c r="B166" s="181" t="s">
        <v>1</v>
      </c>
      <c r="C166" s="265" t="s">
        <v>464</v>
      </c>
      <c r="D166" s="265"/>
      <c r="E166" s="265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25">
      <c r="A167" s="140"/>
      <c r="B167" s="182" t="s">
        <v>402</v>
      </c>
      <c r="C167" s="266"/>
      <c r="D167" s="266"/>
      <c r="E167" s="266"/>
      <c r="F167" s="140"/>
      <c r="R167" t="s">
        <v>316</v>
      </c>
      <c r="S167" s="227">
        <v>174976486</v>
      </c>
      <c r="T167" t="s">
        <v>83</v>
      </c>
    </row>
    <row r="168" spans="1:20" ht="1.9" customHeight="1" thickBot="1" x14ac:dyDescent="0.3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25">
      <c r="R169" t="s">
        <v>318</v>
      </c>
      <c r="S169" s="227">
        <v>144133366</v>
      </c>
      <c r="T169" t="s">
        <v>83</v>
      </c>
    </row>
    <row r="170" spans="1:20" ht="15" x14ac:dyDescent="0.25">
      <c r="R170" t="s">
        <v>319</v>
      </c>
      <c r="S170" s="227">
        <v>144127993</v>
      </c>
      <c r="T170" t="s">
        <v>83</v>
      </c>
    </row>
    <row r="171" spans="1:20" ht="15" x14ac:dyDescent="0.25">
      <c r="R171" s="228" t="s">
        <v>320</v>
      </c>
      <c r="S171" s="228">
        <v>245358580</v>
      </c>
      <c r="T171" t="s">
        <v>84</v>
      </c>
    </row>
    <row r="172" spans="1:20" ht="15" x14ac:dyDescent="0.25">
      <c r="R172" t="s">
        <v>321</v>
      </c>
      <c r="S172" s="227">
        <v>144129510</v>
      </c>
      <c r="T172" t="s">
        <v>83</v>
      </c>
    </row>
    <row r="173" spans="1:20" ht="15" x14ac:dyDescent="0.25">
      <c r="R173" t="s">
        <v>322</v>
      </c>
      <c r="S173" s="227">
        <v>145827646</v>
      </c>
      <c r="T173" t="s">
        <v>83</v>
      </c>
    </row>
    <row r="174" spans="1:20" ht="15" x14ac:dyDescent="0.25">
      <c r="R174" t="s">
        <v>323</v>
      </c>
      <c r="S174" s="227">
        <v>244620250</v>
      </c>
      <c r="T174" t="s">
        <v>83</v>
      </c>
    </row>
    <row r="175" spans="1:20" ht="15" x14ac:dyDescent="0.25">
      <c r="R175" t="s">
        <v>324</v>
      </c>
      <c r="S175" s="227">
        <v>145907544</v>
      </c>
      <c r="T175" t="s">
        <v>405</v>
      </c>
    </row>
    <row r="176" spans="1:20" ht="15" x14ac:dyDescent="0.25">
      <c r="R176" t="s">
        <v>325</v>
      </c>
      <c r="S176" s="227">
        <v>175606358</v>
      </c>
      <c r="T176" t="s">
        <v>83</v>
      </c>
    </row>
    <row r="177" spans="18:20" ht="15" x14ac:dyDescent="0.25">
      <c r="R177" t="s">
        <v>326</v>
      </c>
      <c r="S177" s="227">
        <v>301507301</v>
      </c>
      <c r="T177" t="s">
        <v>83</v>
      </c>
    </row>
    <row r="178" spans="18:20" ht="15" x14ac:dyDescent="0.25">
      <c r="R178" t="s">
        <v>327</v>
      </c>
      <c r="S178" s="227">
        <v>175700829</v>
      </c>
      <c r="T178" t="s">
        <v>83</v>
      </c>
    </row>
    <row r="179" spans="18:20" ht="15" x14ac:dyDescent="0.25">
      <c r="R179" t="s">
        <v>328</v>
      </c>
      <c r="S179" s="227">
        <v>176523470</v>
      </c>
      <c r="T179" t="s">
        <v>83</v>
      </c>
    </row>
    <row r="180" spans="18:20" ht="15" x14ac:dyDescent="0.25">
      <c r="R180" t="s">
        <v>329</v>
      </c>
      <c r="S180" s="227">
        <v>176502533</v>
      </c>
      <c r="T180" t="s">
        <v>83</v>
      </c>
    </row>
    <row r="181" spans="18:20" ht="15" x14ac:dyDescent="0.25">
      <c r="R181" t="s">
        <v>330</v>
      </c>
      <c r="S181" s="227">
        <v>176523132</v>
      </c>
      <c r="T181" t="s">
        <v>83</v>
      </c>
    </row>
    <row r="182" spans="18:20" ht="15" x14ac:dyDescent="0.25">
      <c r="R182" t="s">
        <v>331</v>
      </c>
      <c r="S182" s="227">
        <v>176633027</v>
      </c>
      <c r="T182" t="s">
        <v>83</v>
      </c>
    </row>
    <row r="183" spans="18:20" ht="15" x14ac:dyDescent="0.25">
      <c r="R183" t="s">
        <v>332</v>
      </c>
      <c r="S183" s="227">
        <v>177217875</v>
      </c>
      <c r="T183" t="s">
        <v>83</v>
      </c>
    </row>
    <row r="184" spans="18:20" ht="15" x14ac:dyDescent="0.25">
      <c r="R184" t="s">
        <v>333</v>
      </c>
      <c r="S184" s="227">
        <v>177059215</v>
      </c>
      <c r="T184" t="s">
        <v>83</v>
      </c>
    </row>
    <row r="185" spans="18:20" ht="15" x14ac:dyDescent="0.25">
      <c r="R185" t="s">
        <v>334</v>
      </c>
      <c r="S185" s="227">
        <v>277070440</v>
      </c>
      <c r="T185" t="s">
        <v>83</v>
      </c>
    </row>
    <row r="186" spans="18:20" ht="15" x14ac:dyDescent="0.25">
      <c r="R186" t="s">
        <v>335</v>
      </c>
      <c r="S186" s="227">
        <v>278312850</v>
      </c>
      <c r="T186" t="s">
        <v>83</v>
      </c>
    </row>
    <row r="187" spans="18:20" ht="15" x14ac:dyDescent="0.25">
      <c r="R187" t="s">
        <v>336</v>
      </c>
      <c r="S187" s="227">
        <v>178230181</v>
      </c>
      <c r="T187" t="s">
        <v>83</v>
      </c>
    </row>
    <row r="188" spans="18:20" ht="15" x14ac:dyDescent="0.25">
      <c r="R188" t="s">
        <v>337</v>
      </c>
      <c r="S188" s="227">
        <v>178243638</v>
      </c>
      <c r="T188" t="s">
        <v>83</v>
      </c>
    </row>
    <row r="189" spans="18:20" ht="15" x14ac:dyDescent="0.25">
      <c r="R189" t="s">
        <v>338</v>
      </c>
      <c r="S189" s="227">
        <v>178263320</v>
      </c>
      <c r="T189" t="s">
        <v>83</v>
      </c>
    </row>
    <row r="190" spans="18:20" ht="15" x14ac:dyDescent="0.25">
      <c r="R190" t="s">
        <v>339</v>
      </c>
      <c r="S190" s="227">
        <v>178242493</v>
      </c>
      <c r="T190" t="s">
        <v>83</v>
      </c>
    </row>
    <row r="191" spans="18:20" ht="15" x14ac:dyDescent="0.25">
      <c r="R191" t="s">
        <v>340</v>
      </c>
      <c r="S191" s="227">
        <v>178602767</v>
      </c>
      <c r="T191" t="s">
        <v>83</v>
      </c>
    </row>
    <row r="192" spans="18:20" ht="15" x14ac:dyDescent="0.25">
      <c r="R192" t="s">
        <v>341</v>
      </c>
      <c r="S192" s="227">
        <v>178602952</v>
      </c>
      <c r="T192" t="s">
        <v>83</v>
      </c>
    </row>
    <row r="193" spans="18:20" ht="15" x14ac:dyDescent="0.25">
      <c r="R193" s="244" t="s">
        <v>342</v>
      </c>
      <c r="S193" s="227">
        <v>111679436</v>
      </c>
      <c r="T193" t="s">
        <v>83</v>
      </c>
    </row>
    <row r="194" spans="18:20" ht="15" x14ac:dyDescent="0.25">
      <c r="R194" t="s">
        <v>343</v>
      </c>
      <c r="S194" s="227">
        <v>178997346</v>
      </c>
      <c r="T194" t="s">
        <v>405</v>
      </c>
    </row>
    <row r="195" spans="18:20" ht="15" x14ac:dyDescent="0.25">
      <c r="R195" t="s">
        <v>344</v>
      </c>
      <c r="S195" s="227">
        <v>179286788</v>
      </c>
      <c r="T195" t="s">
        <v>83</v>
      </c>
    </row>
    <row r="196" spans="18:20" ht="15" x14ac:dyDescent="0.25">
      <c r="R196" t="s">
        <v>345</v>
      </c>
      <c r="S196" s="227">
        <v>179206436</v>
      </c>
      <c r="T196" t="s">
        <v>83</v>
      </c>
    </row>
    <row r="197" spans="18:20" ht="15" x14ac:dyDescent="0.25">
      <c r="R197" t="s">
        <v>346</v>
      </c>
      <c r="S197" s="227">
        <v>179249836</v>
      </c>
      <c r="T197" t="s">
        <v>83</v>
      </c>
    </row>
    <row r="198" spans="18:20" ht="15" x14ac:dyDescent="0.25">
      <c r="R198" t="s">
        <v>347</v>
      </c>
      <c r="S198" s="227">
        <v>179478621</v>
      </c>
      <c r="T198" t="s">
        <v>83</v>
      </c>
    </row>
    <row r="199" spans="18:20" ht="15" x14ac:dyDescent="0.25">
      <c r="R199" t="s">
        <v>348</v>
      </c>
      <c r="S199" s="227">
        <v>179340620</v>
      </c>
      <c r="T199" t="s">
        <v>83</v>
      </c>
    </row>
    <row r="200" spans="18:20" ht="15" x14ac:dyDescent="0.25">
      <c r="R200" s="228" t="s">
        <v>349</v>
      </c>
      <c r="S200" s="228">
        <v>179901854</v>
      </c>
      <c r="T200" t="s">
        <v>83</v>
      </c>
    </row>
    <row r="201" spans="18:20" ht="15" x14ac:dyDescent="0.25">
      <c r="R201" t="s">
        <v>350</v>
      </c>
      <c r="S201" s="227">
        <v>180193231</v>
      </c>
      <c r="T201" t="s">
        <v>83</v>
      </c>
    </row>
    <row r="202" spans="18:20" ht="15" x14ac:dyDescent="0.25">
      <c r="R202" t="s">
        <v>351</v>
      </c>
      <c r="S202" s="227">
        <v>180153137</v>
      </c>
      <c r="T202" t="s">
        <v>83</v>
      </c>
    </row>
    <row r="203" spans="18:20" ht="15" x14ac:dyDescent="0.25">
      <c r="R203" t="s">
        <v>352</v>
      </c>
      <c r="S203" s="227">
        <v>180373788</v>
      </c>
      <c r="T203" t="s">
        <v>83</v>
      </c>
    </row>
    <row r="204" spans="18:20" ht="15" x14ac:dyDescent="0.25">
      <c r="R204" t="s">
        <v>353</v>
      </c>
      <c r="S204" s="227">
        <v>180102018</v>
      </c>
      <c r="T204" t="s">
        <v>405</v>
      </c>
    </row>
    <row r="205" spans="18:20" ht="15" x14ac:dyDescent="0.25">
      <c r="R205" t="s">
        <v>354</v>
      </c>
      <c r="S205" s="227">
        <v>181121797</v>
      </c>
      <c r="T205" t="s">
        <v>83</v>
      </c>
    </row>
    <row r="206" spans="18:20" ht="15" x14ac:dyDescent="0.25">
      <c r="R206" t="s">
        <v>355</v>
      </c>
      <c r="S206" s="227">
        <v>281523640</v>
      </c>
      <c r="T206" t="s">
        <v>83</v>
      </c>
    </row>
    <row r="207" spans="18:20" ht="15" x14ac:dyDescent="0.25">
      <c r="R207" t="s">
        <v>356</v>
      </c>
      <c r="S207" s="227">
        <v>181522014</v>
      </c>
      <c r="T207" t="s">
        <v>83</v>
      </c>
    </row>
    <row r="208" spans="18:20" ht="15" x14ac:dyDescent="0.25">
      <c r="R208" t="s">
        <v>357</v>
      </c>
      <c r="S208" s="227">
        <v>181200636</v>
      </c>
      <c r="T208" t="s">
        <v>83</v>
      </c>
    </row>
    <row r="209" spans="18:20" ht="15" x14ac:dyDescent="0.25">
      <c r="R209" t="s">
        <v>358</v>
      </c>
      <c r="S209" s="227">
        <v>182770817</v>
      </c>
      <c r="T209" t="s">
        <v>83</v>
      </c>
    </row>
    <row r="210" spans="18:20" ht="15" x14ac:dyDescent="0.25">
      <c r="R210" t="s">
        <v>359</v>
      </c>
      <c r="S210" s="227">
        <v>182701785</v>
      </c>
      <c r="T210" t="s">
        <v>83</v>
      </c>
    </row>
    <row r="211" spans="18:20" ht="15" x14ac:dyDescent="0.25">
      <c r="R211" t="s">
        <v>360</v>
      </c>
      <c r="S211" s="227">
        <v>182714850</v>
      </c>
      <c r="T211" t="s">
        <v>83</v>
      </c>
    </row>
    <row r="212" spans="18:20" ht="15" x14ac:dyDescent="0.25">
      <c r="R212" t="s">
        <v>361</v>
      </c>
      <c r="S212" s="227">
        <v>182743364</v>
      </c>
      <c r="T212" t="s">
        <v>83</v>
      </c>
    </row>
    <row r="213" spans="18:20" ht="15" x14ac:dyDescent="0.25">
      <c r="R213" t="s">
        <v>362</v>
      </c>
      <c r="S213" s="227">
        <v>183843314</v>
      </c>
      <c r="T213" t="s">
        <v>83</v>
      </c>
    </row>
    <row r="214" spans="18:20" ht="15" x14ac:dyDescent="0.25">
      <c r="R214" t="s">
        <v>363</v>
      </c>
      <c r="S214" s="227">
        <v>183633981</v>
      </c>
      <c r="T214" t="s">
        <v>83</v>
      </c>
    </row>
    <row r="215" spans="18:20" ht="15" x14ac:dyDescent="0.25">
      <c r="R215" t="s">
        <v>364</v>
      </c>
      <c r="S215" s="227">
        <v>183605327</v>
      </c>
      <c r="T215" t="s">
        <v>83</v>
      </c>
    </row>
    <row r="216" spans="18:20" ht="15" x14ac:dyDescent="0.25">
      <c r="R216" t="s">
        <v>365</v>
      </c>
      <c r="S216" s="227">
        <v>183606952</v>
      </c>
      <c r="T216" t="s">
        <v>83</v>
      </c>
    </row>
    <row r="217" spans="18:20" ht="15" x14ac:dyDescent="0.25">
      <c r="R217" t="s">
        <v>366</v>
      </c>
      <c r="S217" s="227">
        <v>283667080</v>
      </c>
      <c r="T217" t="s">
        <v>83</v>
      </c>
    </row>
    <row r="218" spans="18:20" ht="15" x14ac:dyDescent="0.25">
      <c r="R218" s="228" t="s">
        <v>367</v>
      </c>
      <c r="S218" s="228">
        <v>300083878</v>
      </c>
      <c r="T218" t="s">
        <v>83</v>
      </c>
    </row>
    <row r="219" spans="18:20" ht="15" x14ac:dyDescent="0.25">
      <c r="R219" t="s">
        <v>368</v>
      </c>
      <c r="S219" s="227">
        <v>184552774</v>
      </c>
      <c r="T219" t="s">
        <v>83</v>
      </c>
    </row>
    <row r="220" spans="18:20" ht="15" x14ac:dyDescent="0.25">
      <c r="R220" t="s">
        <v>369</v>
      </c>
      <c r="S220" s="227">
        <v>184827583</v>
      </c>
      <c r="T220" t="s">
        <v>83</v>
      </c>
    </row>
    <row r="221" spans="18:20" ht="15" x14ac:dyDescent="0.25">
      <c r="R221" t="s">
        <v>370</v>
      </c>
      <c r="S221" s="227">
        <v>184626819</v>
      </c>
      <c r="T221" t="s">
        <v>83</v>
      </c>
    </row>
    <row r="222" spans="18:20" ht="15" x14ac:dyDescent="0.25">
      <c r="R222" t="s">
        <v>371</v>
      </c>
      <c r="S222" s="227">
        <v>184627344</v>
      </c>
      <c r="T222" t="s">
        <v>83</v>
      </c>
    </row>
    <row r="223" spans="18:20" ht="15" x14ac:dyDescent="0.25">
      <c r="R223" t="s">
        <v>372</v>
      </c>
      <c r="S223" s="227">
        <v>184536236</v>
      </c>
      <c r="T223" t="s">
        <v>83</v>
      </c>
    </row>
    <row r="224" spans="18:20" ht="15" x14ac:dyDescent="0.25">
      <c r="R224" t="s">
        <v>373</v>
      </c>
      <c r="S224" s="227">
        <v>185304657</v>
      </c>
      <c r="T224" t="s">
        <v>83</v>
      </c>
    </row>
    <row r="225" spans="18:20" ht="15" x14ac:dyDescent="0.25">
      <c r="R225" t="s">
        <v>374</v>
      </c>
      <c r="S225" s="227">
        <v>185492166</v>
      </c>
      <c r="T225" t="s">
        <v>83</v>
      </c>
    </row>
    <row r="226" spans="18:20" ht="15" x14ac:dyDescent="0.25">
      <c r="R226" t="s">
        <v>375</v>
      </c>
      <c r="S226" s="227">
        <v>185105324</v>
      </c>
      <c r="T226" t="s">
        <v>83</v>
      </c>
    </row>
    <row r="227" spans="18:20" ht="15" x14ac:dyDescent="0.25">
      <c r="R227" t="s">
        <v>376</v>
      </c>
      <c r="S227" s="227">
        <v>302296661</v>
      </c>
      <c r="T227" t="s">
        <v>83</v>
      </c>
    </row>
    <row r="228" spans="18:20" ht="15" x14ac:dyDescent="0.25">
      <c r="R228" t="s">
        <v>377</v>
      </c>
      <c r="S228" s="227">
        <v>185179431</v>
      </c>
      <c r="T228" t="s">
        <v>83</v>
      </c>
    </row>
    <row r="229" spans="18:20" ht="15" x14ac:dyDescent="0.25">
      <c r="R229" t="s">
        <v>378</v>
      </c>
      <c r="S229" s="227">
        <v>185108391</v>
      </c>
      <c r="T229" t="s">
        <v>83</v>
      </c>
    </row>
    <row r="230" spans="18:20" ht="15" x14ac:dyDescent="0.25">
      <c r="R230" t="s">
        <v>379</v>
      </c>
      <c r="S230" s="227">
        <v>124135580</v>
      </c>
      <c r="T230" t="s">
        <v>84</v>
      </c>
    </row>
    <row r="231" spans="18:20" ht="15" x14ac:dyDescent="0.25">
      <c r="R231" s="228" t="s">
        <v>380</v>
      </c>
      <c r="S231">
        <v>120545849</v>
      </c>
      <c r="T231" t="s">
        <v>83</v>
      </c>
    </row>
    <row r="232" spans="18:20" ht="15" x14ac:dyDescent="0.25">
      <c r="R232" t="s">
        <v>381</v>
      </c>
      <c r="S232" s="227">
        <v>302683277</v>
      </c>
      <c r="T232" t="s">
        <v>83</v>
      </c>
    </row>
    <row r="233" spans="18:20" ht="15" x14ac:dyDescent="0.25">
      <c r="R233" t="s">
        <v>382</v>
      </c>
      <c r="S233" s="227">
        <v>120153047</v>
      </c>
      <c r="T233" t="s">
        <v>83</v>
      </c>
    </row>
    <row r="234" spans="18:20" ht="15" x14ac:dyDescent="0.25">
      <c r="R234" t="s">
        <v>383</v>
      </c>
      <c r="S234" s="227">
        <v>120750163</v>
      </c>
      <c r="T234" t="s">
        <v>83</v>
      </c>
    </row>
    <row r="235" spans="18:20" ht="15" x14ac:dyDescent="0.25">
      <c r="R235" t="s">
        <v>384</v>
      </c>
      <c r="S235" s="227">
        <v>124644360</v>
      </c>
      <c r="T235" t="s">
        <v>405</v>
      </c>
    </row>
    <row r="236" spans="18:20" ht="15" x14ac:dyDescent="0.25">
      <c r="R236" t="s">
        <v>385</v>
      </c>
      <c r="S236" s="227">
        <v>124568293</v>
      </c>
      <c r="T236" t="s">
        <v>405</v>
      </c>
    </row>
    <row r="237" spans="18:20" ht="15" x14ac:dyDescent="0.25">
      <c r="R237" t="s">
        <v>386</v>
      </c>
      <c r="S237" s="227">
        <v>120125820</v>
      </c>
      <c r="T237" t="s">
        <v>83</v>
      </c>
    </row>
    <row r="238" spans="18:20" ht="15" x14ac:dyDescent="0.25">
      <c r="R238" s="228" t="s">
        <v>387</v>
      </c>
      <c r="S238">
        <v>181705485</v>
      </c>
      <c r="T238" t="s">
        <v>83</v>
      </c>
    </row>
    <row r="239" spans="18:20" ht="15" x14ac:dyDescent="0.25">
      <c r="R239" t="s">
        <v>388</v>
      </c>
      <c r="S239" s="227">
        <v>123615345</v>
      </c>
      <c r="T239" t="s">
        <v>405</v>
      </c>
    </row>
    <row r="240" spans="18:20" ht="15" x14ac:dyDescent="0.25">
      <c r="R240" t="s">
        <v>389</v>
      </c>
      <c r="S240" s="227">
        <v>304195262</v>
      </c>
      <c r="T240" t="s">
        <v>405</v>
      </c>
    </row>
    <row r="241" spans="18:20" ht="15" x14ac:dyDescent="0.25">
      <c r="R241" t="s">
        <v>390</v>
      </c>
      <c r="S241" s="227">
        <v>302705154</v>
      </c>
      <c r="T241" t="s">
        <v>83</v>
      </c>
    </row>
    <row r="242" spans="18:20" ht="15" x14ac:dyDescent="0.25">
      <c r="R242" t="s">
        <v>391</v>
      </c>
      <c r="S242" s="227">
        <v>186442084</v>
      </c>
      <c r="T242" t="s">
        <v>83</v>
      </c>
    </row>
    <row r="243" spans="18:20" ht="15" x14ac:dyDescent="0.25">
      <c r="R243" t="s">
        <v>392</v>
      </c>
      <c r="S243" s="227">
        <v>186063262</v>
      </c>
      <c r="T243" t="s">
        <v>83</v>
      </c>
    </row>
    <row r="244" spans="18:20" ht="15" x14ac:dyDescent="0.25">
      <c r="R244" t="s">
        <v>393</v>
      </c>
      <c r="S244" s="227">
        <v>302409486</v>
      </c>
      <c r="T244" t="s">
        <v>405</v>
      </c>
    </row>
    <row r="245" spans="18:20" ht="15" x14ac:dyDescent="0.25">
      <c r="R245" t="s">
        <v>394</v>
      </c>
      <c r="S245" s="227">
        <v>155498117</v>
      </c>
      <c r="T245" t="s">
        <v>83</v>
      </c>
    </row>
    <row r="246" spans="18:20" ht="15" x14ac:dyDescent="0.25">
      <c r="R246" t="s">
        <v>395</v>
      </c>
      <c r="S246" s="227">
        <v>110087517</v>
      </c>
      <c r="T246" t="s">
        <v>83</v>
      </c>
    </row>
    <row r="247" spans="18:20" ht="15" x14ac:dyDescent="0.25">
      <c r="R247" t="s">
        <v>396</v>
      </c>
      <c r="S247" s="227">
        <v>155514735</v>
      </c>
      <c r="T247" t="s">
        <v>84</v>
      </c>
    </row>
    <row r="248" spans="18:20" ht="15" x14ac:dyDescent="0.25">
      <c r="R248" t="s">
        <v>397</v>
      </c>
      <c r="S248" s="227">
        <v>187920473</v>
      </c>
      <c r="T248" t="s">
        <v>83</v>
      </c>
    </row>
    <row r="249" spans="18:20" ht="15" x14ac:dyDescent="0.25">
      <c r="R249" t="s">
        <v>398</v>
      </c>
      <c r="S249" s="227">
        <v>187823316</v>
      </c>
      <c r="T249" t="s">
        <v>83</v>
      </c>
    </row>
    <row r="250" spans="18:20" ht="15" x14ac:dyDescent="0.25">
      <c r="R250" t="s">
        <v>399</v>
      </c>
      <c r="S250" s="227">
        <v>187801768</v>
      </c>
      <c r="T250" t="s">
        <v>83</v>
      </c>
    </row>
  </sheetData>
  <sheetProtection algorithmName="SHA-512" hashValue="ZZBSPbdXiB1KJvgW27pJyfsTdOdMgDNVDyzAIvLAqfnJRnA9bhPn7hh9bMJsODz87k8ZY0b8c9rOVB34aPcD4g==" saltValue="ja3AcTeg+K6bEUREHz79uw==" spinCount="100000" sheet="1" selectLockedCells="1"/>
  <sortState xmlns:xlrd2="http://schemas.microsoft.com/office/spreadsheetml/2017/richdata2" ref="K1:L124">
    <sortCondition ref="K1"/>
  </sortState>
  <dataConsolidate/>
  <mergeCells count="39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C18:D18"/>
    <mergeCell ref="C20:D20"/>
    <mergeCell ref="C21:D21"/>
    <mergeCell ref="C22:D22"/>
    <mergeCell ref="C23:D23"/>
    <mergeCell ref="C19:D19"/>
    <mergeCell ref="C24:D24"/>
    <mergeCell ref="C26:E26"/>
    <mergeCell ref="C27:E27"/>
    <mergeCell ref="C125:E125"/>
    <mergeCell ref="C32:E32"/>
    <mergeCell ref="C33:E33"/>
    <mergeCell ref="C29:E29"/>
    <mergeCell ref="C30:E30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55" customWidth="1"/>
    <col min="7" max="7" width="9.140625" style="55"/>
    <col min="8" max="8" width="0" style="55" hidden="1" customWidth="1"/>
    <col min="9" max="10" width="9.140625" style="55"/>
    <col min="11" max="11" width="20.285156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83"/>
      <c r="B1" s="183"/>
      <c r="C1" s="183"/>
      <c r="D1" s="183"/>
      <c r="E1" s="183"/>
      <c r="F1" s="183"/>
      <c r="G1" s="183"/>
    </row>
    <row r="2" spans="1:7" ht="12" customHeight="1" x14ac:dyDescent="0.2">
      <c r="A2" s="189"/>
      <c r="B2" s="101"/>
      <c r="C2" s="101"/>
      <c r="D2" s="289"/>
      <c r="E2" s="289"/>
      <c r="F2" s="189"/>
      <c r="G2" s="189"/>
    </row>
    <row r="3" spans="1:7" ht="29.25" customHeight="1" x14ac:dyDescent="0.2">
      <c r="A3" s="189"/>
      <c r="B3" s="101"/>
      <c r="C3" s="101"/>
      <c r="D3" s="290" t="s">
        <v>162</v>
      </c>
      <c r="E3" s="290"/>
      <c r="F3" s="189"/>
      <c r="G3" s="189"/>
    </row>
    <row r="4" spans="1:7" ht="15" customHeight="1" x14ac:dyDescent="0.2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">
      <c r="A5" s="189"/>
      <c r="B5" s="100"/>
      <c r="C5" s="100"/>
      <c r="D5" s="102"/>
      <c r="E5" s="100"/>
      <c r="F5" s="189"/>
      <c r="G5" s="189"/>
    </row>
    <row r="6" spans="1:7" ht="15" customHeight="1" x14ac:dyDescent="0.25">
      <c r="A6" s="189"/>
      <c r="B6" s="284" t="s">
        <v>166</v>
      </c>
      <c r="C6" s="284"/>
      <c r="D6" s="284"/>
      <c r="E6" s="284"/>
      <c r="F6" s="189"/>
      <c r="G6" s="189"/>
    </row>
    <row r="7" spans="1:7" ht="12.75" customHeight="1" x14ac:dyDescent="0.2">
      <c r="A7" s="189"/>
      <c r="B7" s="98"/>
      <c r="C7" s="98"/>
      <c r="D7" s="102"/>
      <c r="E7" s="98"/>
      <c r="F7" s="189"/>
      <c r="G7" s="189"/>
    </row>
    <row r="8" spans="1:7" ht="10.5" customHeight="1" x14ac:dyDescent="0.25">
      <c r="A8" s="189"/>
      <c r="B8" s="56"/>
      <c r="C8" s="57"/>
      <c r="D8" s="57"/>
      <c r="E8" s="57"/>
      <c r="F8" s="189"/>
      <c r="G8" s="189"/>
    </row>
    <row r="9" spans="1:7" ht="18.75" x14ac:dyDescent="0.3">
      <c r="A9" s="189"/>
      <c r="B9" s="144" t="s">
        <v>86</v>
      </c>
      <c r="C9" s="302" t="str">
        <f>'Finansiniai duomenys'!C8</f>
        <v>UAB „Ukmergės vandenys“</v>
      </c>
      <c r="D9" s="302"/>
      <c r="E9" s="302"/>
      <c r="F9" s="189"/>
      <c r="G9" s="189"/>
    </row>
    <row r="10" spans="1:7" x14ac:dyDescent="0.2">
      <c r="A10" s="189"/>
      <c r="B10" s="145" t="s">
        <v>85</v>
      </c>
      <c r="C10" s="300" t="str">
        <f>'Finansiniai duomenys'!C9</f>
        <v>Uždaroji akcinė bendrovė (UAB)</v>
      </c>
      <c r="D10" s="300"/>
      <c r="E10" s="300"/>
      <c r="F10" s="189"/>
      <c r="G10" s="189"/>
    </row>
    <row r="11" spans="1:7" ht="12" hidden="1" customHeight="1" x14ac:dyDescent="0.2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">
      <c r="A14" s="189"/>
      <c r="B14" s="145" t="s">
        <v>82</v>
      </c>
      <c r="C14" s="300" t="e">
        <f>'Finansiniai duomenys'!#REF!</f>
        <v>#REF!</v>
      </c>
      <c r="D14" s="300"/>
      <c r="E14" s="300"/>
      <c r="F14" s="189"/>
      <c r="G14" s="189"/>
    </row>
    <row r="15" spans="1:7" ht="12" hidden="1" customHeight="1" x14ac:dyDescent="0.2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">
      <c r="A27" s="189"/>
      <c r="B27" s="113" t="s">
        <v>69</v>
      </c>
      <c r="C27" s="300">
        <f>'Finansiniai duomenys'!C10</f>
        <v>182743364</v>
      </c>
      <c r="D27" s="300"/>
      <c r="E27" s="300"/>
      <c r="F27" s="189"/>
      <c r="G27" s="189"/>
    </row>
    <row r="28" spans="1:9" x14ac:dyDescent="0.2">
      <c r="A28" s="189"/>
      <c r="B28" s="113" t="s">
        <v>103</v>
      </c>
      <c r="C28" s="299" t="e">
        <f>'Finansiniai duomenys'!#REF!</f>
        <v>#REF!</v>
      </c>
      <c r="D28" s="299"/>
      <c r="E28" s="299"/>
      <c r="F28" s="189"/>
      <c r="G28" s="189"/>
    </row>
    <row r="29" spans="1:9" x14ac:dyDescent="0.2">
      <c r="A29" s="189"/>
      <c r="B29" s="113" t="s">
        <v>104</v>
      </c>
      <c r="C29" s="299" t="e">
        <f>'Finansiniai duomenys'!#REF!</f>
        <v>#REF!</v>
      </c>
      <c r="D29" s="299"/>
      <c r="E29" s="299"/>
      <c r="F29" s="189"/>
      <c r="G29" s="189"/>
      <c r="H29" s="60" t="s">
        <v>113</v>
      </c>
      <c r="I29" s="60"/>
    </row>
    <row r="30" spans="1:9" x14ac:dyDescent="0.2">
      <c r="A30" s="189"/>
      <c r="B30" s="113"/>
      <c r="C30" s="299" t="e">
        <f>'Finansiniai duomenys'!#REF!</f>
        <v>#REF!</v>
      </c>
      <c r="D30" s="299"/>
      <c r="E30" s="299"/>
      <c r="F30" s="189"/>
      <c r="G30" s="189"/>
      <c r="H30" s="60" t="s">
        <v>114</v>
      </c>
      <c r="I30" s="60"/>
    </row>
    <row r="31" spans="1:9" x14ac:dyDescent="0.2">
      <c r="A31" s="189"/>
      <c r="B31" s="113" t="s">
        <v>68</v>
      </c>
      <c r="C31" s="300" t="str">
        <f>'Finansiniai duomenys'!C14</f>
        <v>Rimas Arlinskas</v>
      </c>
      <c r="D31" s="300"/>
      <c r="E31" s="300"/>
      <c r="F31" s="189"/>
      <c r="G31" s="189"/>
      <c r="H31" s="60" t="s">
        <v>105</v>
      </c>
      <c r="I31" s="60"/>
    </row>
    <row r="32" spans="1:9" x14ac:dyDescent="0.2">
      <c r="A32" s="189"/>
      <c r="B32" s="113" t="s">
        <v>67</v>
      </c>
      <c r="C32" s="301" t="str">
        <f>'Finansiniai duomenys'!C15</f>
        <v>Kristina Kairienė</v>
      </c>
      <c r="D32" s="301"/>
      <c r="E32" s="301"/>
      <c r="F32" s="189"/>
      <c r="G32" s="189"/>
      <c r="H32" s="60" t="s">
        <v>106</v>
      </c>
      <c r="I32" s="60"/>
    </row>
    <row r="33" spans="1:9" x14ac:dyDescent="0.2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">
      <c r="A34" s="189"/>
      <c r="B34" s="113"/>
      <c r="C34" s="281" t="s">
        <v>7</v>
      </c>
      <c r="D34" s="282"/>
      <c r="E34" s="283"/>
      <c r="F34" s="189"/>
      <c r="G34" s="189"/>
      <c r="H34" s="60" t="s">
        <v>108</v>
      </c>
      <c r="I34" s="60"/>
    </row>
    <row r="35" spans="1:9" x14ac:dyDescent="0.2">
      <c r="A35" s="189"/>
      <c r="B35" s="113" t="s">
        <v>66</v>
      </c>
      <c r="C35" s="262" t="s">
        <v>65</v>
      </c>
      <c r="D35" s="262"/>
      <c r="E35" s="114" t="s">
        <v>64</v>
      </c>
      <c r="F35" s="189"/>
      <c r="G35" s="189"/>
      <c r="H35" s="60" t="s">
        <v>109</v>
      </c>
      <c r="I35" s="60"/>
    </row>
    <row r="36" spans="1:9" x14ac:dyDescent="0.2">
      <c r="A36" s="189"/>
      <c r="B36" s="146" t="s">
        <v>63</v>
      </c>
      <c r="C36" s="291">
        <f>'Finansiniai duomenys'!C19</f>
        <v>0</v>
      </c>
      <c r="D36" s="292"/>
      <c r="E36" s="184">
        <f>'Finansiniai duomenys'!E19</f>
        <v>0</v>
      </c>
      <c r="F36" s="189"/>
      <c r="G36" s="189"/>
      <c r="H36" s="60" t="s">
        <v>110</v>
      </c>
      <c r="I36" s="60"/>
    </row>
    <row r="37" spans="1:9" x14ac:dyDescent="0.2">
      <c r="A37" s="189"/>
      <c r="B37" s="146" t="s">
        <v>62</v>
      </c>
      <c r="C37" s="291">
        <f>'Finansiniai duomenys'!C20</f>
        <v>0</v>
      </c>
      <c r="D37" s="292"/>
      <c r="E37" s="184">
        <f>'Finansiniai duomenys'!E20</f>
        <v>0</v>
      </c>
      <c r="F37" s="189"/>
      <c r="G37" s="189"/>
      <c r="H37" s="60" t="s">
        <v>111</v>
      </c>
      <c r="I37" s="60"/>
    </row>
    <row r="38" spans="1:9" x14ac:dyDescent="0.2">
      <c r="A38" s="189"/>
      <c r="B38" s="146" t="s">
        <v>61</v>
      </c>
      <c r="C38" s="291">
        <f>'Finansiniai duomenys'!C21</f>
        <v>0</v>
      </c>
      <c r="D38" s="292"/>
      <c r="E38" s="184">
        <f>'Finansiniai duomenys'!E21</f>
        <v>0</v>
      </c>
      <c r="F38" s="189"/>
      <c r="G38" s="189"/>
      <c r="H38" s="55" t="s">
        <v>112</v>
      </c>
      <c r="I38" s="60"/>
    </row>
    <row r="39" spans="1:9" x14ac:dyDescent="0.2">
      <c r="A39" s="189"/>
      <c r="B39" s="146" t="s">
        <v>60</v>
      </c>
      <c r="C39" s="291">
        <f>'Finansiniai duomenys'!C22</f>
        <v>0</v>
      </c>
      <c r="D39" s="292"/>
      <c r="E39" s="184">
        <f>'Finansiniai duomenys'!E22</f>
        <v>0</v>
      </c>
      <c r="F39" s="189"/>
      <c r="G39" s="189"/>
      <c r="H39" s="55" t="s">
        <v>115</v>
      </c>
    </row>
    <row r="40" spans="1:9" x14ac:dyDescent="0.2">
      <c r="A40" s="189"/>
      <c r="B40" s="146" t="s">
        <v>59</v>
      </c>
      <c r="C40" s="291">
        <f>'Finansiniai duomenys'!C23</f>
        <v>0</v>
      </c>
      <c r="D40" s="292"/>
      <c r="E40" s="184">
        <f>'Finansiniai duomenys'!E23</f>
        <v>0</v>
      </c>
      <c r="F40" s="189"/>
      <c r="G40" s="189"/>
    </row>
    <row r="41" spans="1:9" x14ac:dyDescent="0.2">
      <c r="A41" s="189"/>
      <c r="B41" s="146" t="s">
        <v>58</v>
      </c>
      <c r="C41" s="250" t="s">
        <v>57</v>
      </c>
      <c r="D41" s="251"/>
      <c r="E41" s="116">
        <f>100%-SUM(E36:E40)</f>
        <v>1</v>
      </c>
      <c r="F41" s="189"/>
      <c r="G41" s="189"/>
    </row>
    <row r="42" spans="1:9" x14ac:dyDescent="0.2">
      <c r="A42" s="189"/>
      <c r="B42" s="146"/>
      <c r="C42" s="62"/>
      <c r="D42" s="62"/>
      <c r="E42" s="117"/>
      <c r="F42" s="189"/>
      <c r="G42" s="189"/>
    </row>
    <row r="43" spans="1:9" x14ac:dyDescent="0.2">
      <c r="A43" s="189"/>
      <c r="B43" s="117" t="s">
        <v>155</v>
      </c>
      <c r="C43" s="293">
        <f>'Finansiniai duomenys'!C26</f>
        <v>1</v>
      </c>
      <c r="D43" s="293"/>
      <c r="E43" s="293"/>
      <c r="F43" s="189"/>
      <c r="G43" s="189"/>
    </row>
    <row r="44" spans="1:9" ht="24" x14ac:dyDescent="0.2">
      <c r="A44" s="189"/>
      <c r="B44" s="147" t="s">
        <v>154</v>
      </c>
      <c r="C44" s="294" t="str">
        <f>'Finansiniai duomenys'!C27</f>
        <v>ne</v>
      </c>
      <c r="D44" s="294"/>
      <c r="E44" s="295"/>
      <c r="F44" s="189"/>
      <c r="G44" s="189"/>
    </row>
    <row r="45" spans="1:9" x14ac:dyDescent="0.2">
      <c r="A45" s="189"/>
      <c r="B45" s="113"/>
      <c r="C45" s="62"/>
      <c r="D45" s="62"/>
      <c r="E45" s="117"/>
      <c r="F45" s="189"/>
      <c r="G45" s="189"/>
    </row>
    <row r="46" spans="1:9" ht="24" x14ac:dyDescent="0.2">
      <c r="A46" s="189"/>
      <c r="B46" s="148" t="s">
        <v>149</v>
      </c>
      <c r="C46" s="296" t="e">
        <f>'Finansiniai duomenys'!#REF!</f>
        <v>#REF!</v>
      </c>
      <c r="D46" s="296"/>
      <c r="E46" s="296"/>
      <c r="F46" s="189"/>
      <c r="G46" s="189"/>
    </row>
    <row r="47" spans="1:9" ht="41.25" customHeight="1" x14ac:dyDescent="0.2">
      <c r="A47" s="189"/>
      <c r="B47" s="148" t="s">
        <v>150</v>
      </c>
      <c r="C47" s="297" t="e">
        <f>'Finansiniai duomenys'!#REF!</f>
        <v>#REF!</v>
      </c>
      <c r="D47" s="297"/>
      <c r="E47" s="298"/>
      <c r="F47" s="189"/>
      <c r="G47" s="189"/>
    </row>
    <row r="48" spans="1:9" x14ac:dyDescent="0.2">
      <c r="A48" s="189"/>
      <c r="B48" s="113"/>
      <c r="C48" s="62"/>
      <c r="D48" s="62"/>
      <c r="E48" s="117"/>
      <c r="F48" s="189"/>
      <c r="G48" s="189"/>
    </row>
    <row r="49" spans="1:12" ht="24.6" customHeight="1" x14ac:dyDescent="0.2">
      <c r="A49" s="189"/>
      <c r="B49" s="113"/>
      <c r="C49" s="256" t="s">
        <v>100</v>
      </c>
      <c r="D49" s="256"/>
      <c r="E49" s="257"/>
      <c r="F49" s="189"/>
      <c r="G49" s="189"/>
      <c r="H49" s="63"/>
    </row>
    <row r="50" spans="1:12" s="63" customFormat="1" ht="12" customHeight="1" x14ac:dyDescent="0.2">
      <c r="A50" s="190"/>
      <c r="B50" s="149"/>
      <c r="C50" s="258"/>
      <c r="D50" s="258"/>
      <c r="E50" s="259"/>
      <c r="F50" s="190"/>
      <c r="G50" s="190"/>
      <c r="H50" s="55"/>
      <c r="K50" s="55"/>
      <c r="L50" s="55"/>
    </row>
    <row r="51" spans="1:12" ht="12" customHeight="1" x14ac:dyDescent="0.2">
      <c r="A51" s="189"/>
      <c r="B51" s="129"/>
      <c r="C51" s="269" t="s">
        <v>55</v>
      </c>
      <c r="D51" s="269"/>
      <c r="E51" s="270"/>
      <c r="F51" s="189"/>
      <c r="G51" s="189"/>
    </row>
    <row r="52" spans="1:12" x14ac:dyDescent="0.2">
      <c r="A52" s="189"/>
      <c r="B52" s="129"/>
      <c r="C52" s="271" t="s">
        <v>54</v>
      </c>
      <c r="D52" s="271"/>
      <c r="E52" s="272"/>
      <c r="F52" s="189"/>
      <c r="G52" s="189"/>
    </row>
    <row r="53" spans="1:12" ht="12.75" thickBot="1" x14ac:dyDescent="0.25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">
      <c r="A69" s="189"/>
      <c r="B69" s="129"/>
      <c r="C69" s="69"/>
      <c r="D69" s="69"/>
      <c r="E69" s="129"/>
      <c r="F69" s="189"/>
      <c r="G69" s="189"/>
    </row>
    <row r="70" spans="1:12" ht="12.75" thickBot="1" x14ac:dyDescent="0.25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">
      <c r="A77" s="189"/>
      <c r="B77" s="129"/>
      <c r="C77" s="75"/>
      <c r="D77" s="76"/>
      <c r="E77" s="131"/>
      <c r="F77" s="189"/>
      <c r="G77" s="189"/>
    </row>
    <row r="78" spans="1:12" ht="11.25" customHeight="1" x14ac:dyDescent="0.2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ht="24" x14ac:dyDescent="0.2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">
      <c r="A104" s="189"/>
      <c r="B104" s="151"/>
      <c r="C104" s="75"/>
      <c r="D104" s="69"/>
      <c r="E104" s="131"/>
      <c r="F104" s="189"/>
      <c r="G104" s="189"/>
    </row>
    <row r="105" spans="1:12" x14ac:dyDescent="0.2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">
      <c r="A119" s="189"/>
      <c r="B119" s="129"/>
      <c r="C119" s="69"/>
      <c r="D119" s="69"/>
      <c r="E119" s="129"/>
      <c r="F119" s="189"/>
      <c r="G119" s="189"/>
    </row>
    <row r="120" spans="1:12" x14ac:dyDescent="0.2">
      <c r="A120" s="189"/>
      <c r="B120" s="129"/>
      <c r="C120" s="69"/>
      <c r="D120" s="69"/>
      <c r="E120" s="129"/>
      <c r="F120" s="189"/>
      <c r="G120" s="189"/>
    </row>
    <row r="121" spans="1:12" x14ac:dyDescent="0.2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">
      <c r="A122" s="189"/>
      <c r="B122" s="129"/>
      <c r="C122" s="69"/>
      <c r="D122" s="69"/>
      <c r="E122" s="129"/>
      <c r="F122" s="189"/>
      <c r="G122" s="189"/>
    </row>
    <row r="123" spans="1:12" x14ac:dyDescent="0.2">
      <c r="A123" s="189"/>
      <c r="B123" s="151"/>
      <c r="C123" s="69"/>
      <c r="D123" s="69"/>
      <c r="E123" s="129"/>
      <c r="F123" s="189"/>
      <c r="G123" s="189"/>
    </row>
    <row r="124" spans="1:12" ht="12.75" thickBot="1" x14ac:dyDescent="0.25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">
      <c r="A126" s="189"/>
      <c r="B126" s="168"/>
      <c r="C126" s="80"/>
      <c r="D126" s="80"/>
      <c r="E126" s="80"/>
      <c r="F126" s="189"/>
      <c r="G126" s="189"/>
    </row>
    <row r="127" spans="1:12" ht="24" x14ac:dyDescent="0.2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">
      <c r="A128" s="189"/>
      <c r="B128" s="129"/>
      <c r="C128" s="75"/>
      <c r="D128" s="81"/>
      <c r="E128" s="131"/>
      <c r="F128" s="189"/>
      <c r="G128" s="189"/>
    </row>
    <row r="129" spans="1:7" ht="24" x14ac:dyDescent="0.2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">
      <c r="A130" s="189"/>
      <c r="B130" s="129"/>
      <c r="C130" s="81"/>
      <c r="D130" s="81"/>
      <c r="E130" s="13"/>
      <c r="F130" s="189"/>
      <c r="G130" s="189"/>
    </row>
    <row r="131" spans="1:7" ht="12.75" thickBot="1" x14ac:dyDescent="0.25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25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25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">
      <c r="A139" s="189"/>
      <c r="B139" s="179" t="s">
        <v>5</v>
      </c>
      <c r="C139" s="267"/>
      <c r="D139" s="267"/>
      <c r="E139" s="268"/>
      <c r="F139" s="189"/>
      <c r="G139" s="189"/>
    </row>
    <row r="140" spans="1:7" x14ac:dyDescent="0.2">
      <c r="A140" s="189"/>
      <c r="B140" s="13"/>
      <c r="C140" s="69"/>
      <c r="D140" s="69"/>
      <c r="E140" s="129"/>
      <c r="F140" s="189"/>
      <c r="G140" s="189"/>
    </row>
    <row r="141" spans="1:7" ht="12.75" thickBot="1" x14ac:dyDescent="0.25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">
      <c r="A142" s="189"/>
      <c r="B142" s="129"/>
      <c r="C142" s="69"/>
      <c r="D142" s="69"/>
      <c r="E142" s="129"/>
      <c r="F142" s="189"/>
      <c r="G142" s="189"/>
    </row>
    <row r="143" spans="1:7" x14ac:dyDescent="0.2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">
      <c r="A144" s="189"/>
      <c r="B144" s="129" t="s">
        <v>3</v>
      </c>
      <c r="C144" s="273"/>
      <c r="D144" s="273"/>
      <c r="E144" s="273"/>
      <c r="F144" s="189"/>
      <c r="G144" s="189"/>
    </row>
    <row r="145" spans="1:7" x14ac:dyDescent="0.2">
      <c r="A145" s="189"/>
      <c r="B145" s="129" t="s">
        <v>2</v>
      </c>
      <c r="C145" s="274"/>
      <c r="D145" s="274"/>
      <c r="E145" s="274"/>
      <c r="F145" s="189"/>
      <c r="G145" s="189"/>
    </row>
    <row r="146" spans="1:7" ht="24" x14ac:dyDescent="0.2">
      <c r="A146" s="189"/>
      <c r="B146" s="181" t="s">
        <v>1</v>
      </c>
      <c r="C146" s="265"/>
      <c r="D146" s="265"/>
      <c r="E146" s="265"/>
      <c r="F146" s="189"/>
      <c r="G146" s="189"/>
    </row>
    <row r="147" spans="1:7" ht="30" customHeight="1" x14ac:dyDescent="0.2">
      <c r="A147" s="189"/>
      <c r="B147" s="182" t="s">
        <v>0</v>
      </c>
      <c r="C147" s="288"/>
      <c r="D147" s="288"/>
      <c r="E147" s="266"/>
      <c r="F147" s="189"/>
      <c r="G147" s="189"/>
    </row>
    <row r="148" spans="1:7" ht="1.9" customHeight="1" x14ac:dyDescent="0.2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view="pageBreakPreview" topLeftCell="A36" zoomScaleNormal="80" zoomScaleSheetLayoutView="100" workbookViewId="0">
      <selection activeCell="F92" sqref="F92:L94"/>
    </sheetView>
  </sheetViews>
  <sheetFormatPr defaultColWidth="9.140625" defaultRowHeight="15" x14ac:dyDescent="0.25"/>
  <cols>
    <col min="1" max="1" width="1.42578125" style="21" customWidth="1"/>
    <col min="2" max="2" width="1.7109375" style="21" customWidth="1"/>
    <col min="3" max="3" width="7.28515625" style="21" customWidth="1"/>
    <col min="4" max="4" width="30.5703125" style="21" customWidth="1"/>
    <col min="5" max="5" width="38.28515625" style="21" customWidth="1"/>
    <col min="6" max="6" width="13.7109375" style="21" customWidth="1"/>
    <col min="7" max="8" width="2.7109375" style="21" customWidth="1"/>
    <col min="9" max="9" width="7.28515625" style="21" customWidth="1"/>
    <col min="10" max="10" width="30.5703125" style="21" customWidth="1"/>
    <col min="11" max="11" width="38.28515625" style="21" customWidth="1"/>
    <col min="12" max="12" width="13.7109375" style="21" customWidth="1"/>
    <col min="13" max="13" width="2.7109375" style="21" customWidth="1"/>
    <col min="14" max="14" width="3.710937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25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25">
      <c r="B3" s="23"/>
      <c r="C3" s="204"/>
      <c r="D3" s="22"/>
      <c r="E3" s="22"/>
      <c r="F3" s="22"/>
      <c r="G3" s="22"/>
      <c r="H3" s="24"/>
      <c r="I3" s="22"/>
      <c r="J3" s="22"/>
      <c r="K3" s="341" t="s">
        <v>162</v>
      </c>
      <c r="L3" s="342"/>
      <c r="M3" s="35"/>
    </row>
    <row r="4" spans="2:15" ht="15" customHeight="1" x14ac:dyDescent="0.25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25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47" t="s">
        <v>165</v>
      </c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2:15" ht="15" customHeight="1" x14ac:dyDescent="0.25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43" t="s">
        <v>86</v>
      </c>
      <c r="D9" s="344"/>
      <c r="E9" s="345" t="str">
        <f>'Finansiniai duomenys'!C8</f>
        <v>UAB „Ukmergės vandenys“</v>
      </c>
      <c r="F9" s="345"/>
      <c r="G9" s="345"/>
      <c r="H9" s="345"/>
      <c r="I9" s="345"/>
      <c r="J9" s="345"/>
      <c r="K9" s="22"/>
      <c r="L9" s="22"/>
      <c r="M9" s="35"/>
    </row>
    <row r="10" spans="2:15" ht="15.75" thickBot="1" x14ac:dyDescent="0.3">
      <c r="B10" s="23"/>
      <c r="C10" s="343" t="s">
        <v>85</v>
      </c>
      <c r="D10" s="344"/>
      <c r="E10" s="346" t="str">
        <f>'Finansiniai duomenys'!C9</f>
        <v>Uždaroji akcinė bendrovė (UAB)</v>
      </c>
      <c r="F10" s="346"/>
      <c r="G10" s="346"/>
      <c r="H10" s="346"/>
      <c r="I10" s="346"/>
      <c r="J10" s="346"/>
      <c r="K10" s="22"/>
      <c r="L10" s="22"/>
      <c r="M10" s="35"/>
    </row>
    <row r="11" spans="2:15" ht="15.75" thickBot="1" x14ac:dyDescent="0.3">
      <c r="B11" s="23"/>
      <c r="C11" s="343" t="s">
        <v>69</v>
      </c>
      <c r="D11" s="344"/>
      <c r="E11" s="346">
        <f>'Finansiniai duomenys'!C10</f>
        <v>182743364</v>
      </c>
      <c r="F11" s="346"/>
      <c r="G11" s="346"/>
      <c r="H11" s="346"/>
      <c r="I11" s="346"/>
      <c r="J11" s="346"/>
      <c r="K11" s="22"/>
      <c r="L11" s="22"/>
      <c r="M11" s="35"/>
    </row>
    <row r="12" spans="2:15" x14ac:dyDescent="0.25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303" t="s">
        <v>134</v>
      </c>
      <c r="D13" s="304"/>
      <c r="E13" s="304"/>
      <c r="F13" s="305" t="s">
        <v>135</v>
      </c>
      <c r="G13" s="305"/>
      <c r="H13" s="305"/>
      <c r="I13" s="305"/>
      <c r="J13" s="305"/>
      <c r="K13" s="305"/>
      <c r="L13" s="306"/>
      <c r="M13" s="35"/>
      <c r="O13" s="21" t="s">
        <v>135</v>
      </c>
    </row>
    <row r="14" spans="2:15" x14ac:dyDescent="0.25">
      <c r="B14" s="23"/>
      <c r="C14" s="307" t="s">
        <v>139</v>
      </c>
      <c r="D14" s="308"/>
      <c r="E14" s="308"/>
      <c r="F14" s="309" t="s">
        <v>462</v>
      </c>
      <c r="G14" s="309"/>
      <c r="H14" s="309"/>
      <c r="I14" s="309"/>
      <c r="J14" s="309"/>
      <c r="K14" s="309"/>
      <c r="L14" s="310"/>
      <c r="M14" s="35"/>
      <c r="O14" s="21" t="s">
        <v>138</v>
      </c>
    </row>
    <row r="15" spans="2:15" x14ac:dyDescent="0.25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25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5" customHeight="1" x14ac:dyDescent="0.25">
      <c r="B17" s="23"/>
      <c r="C17" s="303" t="s">
        <v>437</v>
      </c>
      <c r="D17" s="313"/>
      <c r="E17" s="314" t="s">
        <v>408</v>
      </c>
      <c r="F17" s="316"/>
      <c r="G17" s="36"/>
      <c r="H17" s="37"/>
      <c r="I17" s="304" t="s">
        <v>442</v>
      </c>
      <c r="J17" s="313"/>
      <c r="K17" s="314" t="s">
        <v>408</v>
      </c>
      <c r="L17" s="315"/>
      <c r="M17" s="206"/>
    </row>
    <row r="18" spans="2:13" ht="26.45" customHeight="1" thickBot="1" x14ac:dyDescent="0.3">
      <c r="B18" s="23"/>
      <c r="C18" s="329" t="s">
        <v>438</v>
      </c>
      <c r="D18" s="319"/>
      <c r="E18" s="319"/>
      <c r="F18" s="320"/>
      <c r="G18" s="38"/>
      <c r="H18" s="37"/>
      <c r="I18" s="318" t="s">
        <v>443</v>
      </c>
      <c r="J18" s="319"/>
      <c r="K18" s="319"/>
      <c r="L18" s="320"/>
      <c r="M18" s="207"/>
    </row>
    <row r="19" spans="2:13" ht="40.5" customHeight="1" thickBot="1" x14ac:dyDescent="0.3">
      <c r="B19" s="23"/>
      <c r="C19" s="303" t="s">
        <v>439</v>
      </c>
      <c r="D19" s="304"/>
      <c r="E19" s="334" t="s">
        <v>408</v>
      </c>
      <c r="F19" s="335"/>
      <c r="G19" s="39"/>
      <c r="H19" s="24"/>
      <c r="I19" s="304" t="s">
        <v>444</v>
      </c>
      <c r="J19" s="304"/>
      <c r="K19" s="311" t="s">
        <v>408</v>
      </c>
      <c r="L19" s="312"/>
      <c r="M19" s="206"/>
    </row>
    <row r="20" spans="2:13" ht="40.5" customHeight="1" x14ac:dyDescent="0.25">
      <c r="B20" s="23"/>
      <c r="C20" s="303" t="s">
        <v>101</v>
      </c>
      <c r="D20" s="304"/>
      <c r="E20" s="317" t="s">
        <v>461</v>
      </c>
      <c r="F20" s="336"/>
      <c r="G20" s="36"/>
      <c r="H20" s="24"/>
      <c r="I20" s="304" t="s">
        <v>101</v>
      </c>
      <c r="J20" s="304"/>
      <c r="K20" s="317" t="s">
        <v>460</v>
      </c>
      <c r="L20" s="317"/>
      <c r="M20" s="206"/>
    </row>
    <row r="21" spans="2:13" x14ac:dyDescent="0.25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30" t="s">
        <v>440</v>
      </c>
      <c r="D23" s="325"/>
      <c r="E23" s="325"/>
      <c r="F23" s="331"/>
      <c r="G23" s="29"/>
      <c r="H23" s="37"/>
      <c r="I23" s="325" t="s">
        <v>413</v>
      </c>
      <c r="J23" s="325"/>
      <c r="K23" s="325"/>
      <c r="L23" s="325"/>
      <c r="M23" s="208"/>
    </row>
    <row r="24" spans="2:13" x14ac:dyDescent="0.25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25">
      <c r="B25" s="23"/>
      <c r="C25" s="332" t="s">
        <v>441</v>
      </c>
      <c r="D25" s="326"/>
      <c r="E25" s="326"/>
      <c r="F25" s="333"/>
      <c r="G25" s="41"/>
      <c r="H25" s="37"/>
      <c r="I25" s="326" t="s">
        <v>445</v>
      </c>
      <c r="J25" s="326"/>
      <c r="K25" s="326"/>
      <c r="L25" s="326"/>
      <c r="M25" s="210"/>
    </row>
    <row r="26" spans="2:13" ht="36" x14ac:dyDescent="0.25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25">
      <c r="B27" s="23"/>
      <c r="C27" s="34">
        <v>1</v>
      </c>
      <c r="D27" s="245" t="s">
        <v>449</v>
      </c>
      <c r="E27" s="247" t="s">
        <v>456</v>
      </c>
      <c r="F27" s="8">
        <v>4</v>
      </c>
      <c r="G27" s="44"/>
      <c r="H27" s="27"/>
      <c r="I27" s="45">
        <v>1</v>
      </c>
      <c r="J27" s="245" t="s">
        <v>449</v>
      </c>
      <c r="K27" s="247" t="s">
        <v>456</v>
      </c>
      <c r="L27" s="8">
        <v>2</v>
      </c>
      <c r="M27" s="212"/>
    </row>
    <row r="28" spans="2:13" x14ac:dyDescent="0.25">
      <c r="B28" s="23"/>
      <c r="C28" s="34">
        <v>2</v>
      </c>
      <c r="D28" s="245" t="s">
        <v>450</v>
      </c>
      <c r="E28" s="247" t="s">
        <v>456</v>
      </c>
      <c r="F28" s="8">
        <v>4</v>
      </c>
      <c r="G28" s="44"/>
      <c r="H28" s="27"/>
      <c r="I28" s="45">
        <v>2</v>
      </c>
      <c r="J28" s="245" t="s">
        <v>450</v>
      </c>
      <c r="K28" s="247" t="s">
        <v>456</v>
      </c>
      <c r="L28" s="8">
        <v>4</v>
      </c>
      <c r="M28" s="212"/>
    </row>
    <row r="29" spans="2:13" x14ac:dyDescent="0.25">
      <c r="B29" s="23"/>
      <c r="C29" s="34">
        <v>3</v>
      </c>
      <c r="D29" s="245" t="s">
        <v>451</v>
      </c>
      <c r="E29" s="247" t="s">
        <v>457</v>
      </c>
      <c r="F29" s="8">
        <v>0.5</v>
      </c>
      <c r="G29" s="44"/>
      <c r="H29" s="27"/>
      <c r="I29" s="45">
        <v>3</v>
      </c>
      <c r="J29" s="245" t="s">
        <v>451</v>
      </c>
      <c r="K29" s="247" t="s">
        <v>457</v>
      </c>
      <c r="L29" s="8">
        <v>0.5</v>
      </c>
      <c r="M29" s="212"/>
    </row>
    <row r="30" spans="2:13" ht="15.75" thickBot="1" x14ac:dyDescent="0.3">
      <c r="B30" s="23"/>
      <c r="C30" s="34">
        <v>4</v>
      </c>
      <c r="D30" s="246" t="s">
        <v>455</v>
      </c>
      <c r="E30" s="249" t="s">
        <v>457</v>
      </c>
      <c r="F30" s="8">
        <v>0.1</v>
      </c>
      <c r="G30" s="44"/>
      <c r="H30" s="27"/>
      <c r="I30" s="45">
        <v>4</v>
      </c>
      <c r="J30" s="245" t="s">
        <v>452</v>
      </c>
      <c r="K30" s="247" t="s">
        <v>458</v>
      </c>
      <c r="L30" s="8">
        <v>0.2</v>
      </c>
      <c r="M30" s="212"/>
    </row>
    <row r="31" spans="2:13" ht="25.5" x14ac:dyDescent="0.25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245" t="s">
        <v>453</v>
      </c>
      <c r="K31" s="248" t="s">
        <v>459</v>
      </c>
      <c r="L31" s="8">
        <v>0.25</v>
      </c>
      <c r="M31" s="212"/>
    </row>
    <row r="32" spans="2:13" x14ac:dyDescent="0.25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245" t="s">
        <v>454</v>
      </c>
      <c r="K32" s="247" t="s">
        <v>457</v>
      </c>
      <c r="L32" s="8">
        <v>0.5</v>
      </c>
      <c r="M32" s="212"/>
    </row>
    <row r="33" spans="2:13" ht="15.75" thickBot="1" x14ac:dyDescent="0.3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246" t="s">
        <v>455</v>
      </c>
      <c r="K33" s="249" t="s">
        <v>457</v>
      </c>
      <c r="L33" s="8">
        <v>0.1</v>
      </c>
      <c r="M33" s="212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12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12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12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12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25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25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25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25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25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25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25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25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25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25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25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25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25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25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25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25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25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25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25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25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25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25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25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25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25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25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25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25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25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25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25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25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25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25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25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25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25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37" t="s">
        <v>6</v>
      </c>
      <c r="D88" s="337"/>
      <c r="E88" s="337"/>
      <c r="F88" s="337"/>
      <c r="G88" s="337"/>
      <c r="H88" s="337"/>
      <c r="I88" s="337"/>
      <c r="J88" s="337"/>
      <c r="K88" s="337"/>
      <c r="L88" s="337"/>
      <c r="M88" s="214"/>
    </row>
    <row r="89" spans="2:13" ht="66" customHeight="1" x14ac:dyDescent="0.25">
      <c r="B89" s="23"/>
      <c r="C89" s="329" t="s">
        <v>99</v>
      </c>
      <c r="D89" s="319"/>
      <c r="E89" s="319"/>
      <c r="F89" s="338"/>
      <c r="G89" s="338"/>
      <c r="H89" s="338"/>
      <c r="I89" s="338"/>
      <c r="J89" s="338"/>
      <c r="K89" s="338"/>
      <c r="L89" s="338"/>
      <c r="M89" s="35"/>
    </row>
    <row r="90" spans="2:13" ht="20.25" customHeight="1" x14ac:dyDescent="0.25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25">
      <c r="B91" s="23"/>
      <c r="C91" s="327" t="s">
        <v>4</v>
      </c>
      <c r="D91" s="328"/>
      <c r="E91" s="328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25">
      <c r="B92" s="23"/>
      <c r="C92" s="329" t="s">
        <v>3</v>
      </c>
      <c r="D92" s="319"/>
      <c r="E92" s="319"/>
      <c r="F92" s="339">
        <v>43948</v>
      </c>
      <c r="G92" s="340"/>
      <c r="H92" s="340"/>
      <c r="I92" s="340"/>
      <c r="J92" s="340"/>
      <c r="K92" s="340"/>
      <c r="L92" s="340"/>
      <c r="M92" s="216"/>
    </row>
    <row r="93" spans="2:13" ht="15.75" customHeight="1" x14ac:dyDescent="0.25">
      <c r="B93" s="23"/>
      <c r="C93" s="329" t="s">
        <v>2</v>
      </c>
      <c r="D93" s="319"/>
      <c r="E93" s="319"/>
      <c r="F93" s="340" t="s">
        <v>463</v>
      </c>
      <c r="G93" s="340"/>
      <c r="H93" s="340"/>
      <c r="I93" s="340"/>
      <c r="J93" s="340"/>
      <c r="K93" s="340"/>
      <c r="L93" s="340"/>
      <c r="M93" s="216"/>
    </row>
    <row r="94" spans="2:13" ht="15.75" customHeight="1" x14ac:dyDescent="0.25">
      <c r="B94" s="23"/>
      <c r="C94" s="329" t="s">
        <v>1</v>
      </c>
      <c r="D94" s="319"/>
      <c r="E94" s="319"/>
      <c r="F94" s="340" t="s">
        <v>464</v>
      </c>
      <c r="G94" s="340"/>
      <c r="H94" s="340"/>
      <c r="I94" s="340"/>
      <c r="J94" s="340"/>
      <c r="K94" s="340"/>
      <c r="L94" s="340"/>
      <c r="M94" s="216"/>
    </row>
    <row r="95" spans="2:13" ht="21" customHeight="1" x14ac:dyDescent="0.25">
      <c r="B95" s="23"/>
      <c r="C95" s="321" t="s">
        <v>402</v>
      </c>
      <c r="D95" s="322"/>
      <c r="E95" s="322"/>
      <c r="F95" s="107"/>
      <c r="G95" s="107"/>
      <c r="H95" s="107"/>
      <c r="I95" s="107"/>
      <c r="J95" s="107"/>
      <c r="K95" s="107"/>
      <c r="L95" s="107"/>
      <c r="M95" s="216"/>
    </row>
    <row r="96" spans="2:13" x14ac:dyDescent="0.25">
      <c r="B96" s="23"/>
      <c r="C96" s="323"/>
      <c r="D96" s="324"/>
      <c r="E96" s="324"/>
      <c r="F96" s="217"/>
      <c r="G96" s="218"/>
      <c r="H96" s="219"/>
      <c r="I96" s="220"/>
      <c r="J96" s="220"/>
      <c r="K96" s="220"/>
      <c r="L96" s="220"/>
      <c r="M96" s="221"/>
    </row>
    <row r="97" spans="2:13" x14ac:dyDescent="0.25">
      <c r="B97" s="222"/>
      <c r="M97" s="194"/>
    </row>
  </sheetData>
  <sheetProtection algorithmName="SHA-512" hashValue="cXw5Nyh099zDdQ9RaHNuUpxnlK3ik5/BScQWjwdr4l2UF9sVPBrILFykF1slff4/PA9zF+ynOAk6K9/tpnK56g==" saltValue="zhSC3viHxmZMkeY5ner32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2276FA5C9FC4EB0CDE27AAC3EE22A" ma:contentTypeVersion="10" ma:contentTypeDescription="Create a new document." ma:contentTypeScope="" ma:versionID="0269b2cbdc919adecb1b05d2739dcad9">
  <xsd:schema xmlns:xsd="http://www.w3.org/2001/XMLSchema" xmlns:xs="http://www.w3.org/2001/XMLSchema" xmlns:p="http://schemas.microsoft.com/office/2006/metadata/properties" xmlns:ns2="e16a3ab4-6b61-4168-af48-7fe88d419993" xmlns:ns3="9288e34c-c45f-4c56-ac4f-9af36a368a0a" targetNamespace="http://schemas.microsoft.com/office/2006/metadata/properties" ma:root="true" ma:fieldsID="b03440d1a829314f8c9f85e03ccadc58" ns2:_="" ns3:_="">
    <xsd:import namespace="e16a3ab4-6b61-4168-af48-7fe88d419993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a3ab4-6b61-4168-af48-7fe88d419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457236-BE05-4912-94BD-3E6BF4D26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6a3ab4-6b61-4168-af48-7fe88d419993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terms/"/>
    <ds:schemaRef ds:uri="http://schemas.openxmlformats.org/package/2006/metadata/core-properties"/>
    <ds:schemaRef ds:uri="e16a3ab4-6b61-4168-af48-7fe88d4199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Kristina</cp:lastModifiedBy>
  <cp:lastPrinted>2020-04-29T06:35:28Z</cp:lastPrinted>
  <dcterms:created xsi:type="dcterms:W3CDTF">2014-03-24T16:58:47Z</dcterms:created>
  <dcterms:modified xsi:type="dcterms:W3CDTF">2020-05-28T09:14:54Z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0x010100BED2276FA5C9FC4EB0CDE27AAC3EE22A</vt:lpwstr>
  </property>
</Properties>
</file>